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my_chong\Desktop\SCHEDULE\"/>
    </mc:Choice>
  </mc:AlternateContent>
  <xr:revisionPtr revIDLastSave="0" documentId="8_{FBBD7DD0-FE28-4033-8B84-1A95BF68E55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OUTING DOWNLOAD" sheetId="1" r:id="rId1"/>
    <sheet name="TSLINES UPDATE DELAY&amp;CUTOFF SCH" sheetId="2" r:id="rId2"/>
    <sheet name="TSLINES CONTACT LIST" sheetId="3" r:id="rId3"/>
    <sheet name="TSLINES ORIGINAL SCHED" sheetId="4" r:id="rId4"/>
    <sheet name="SI CUT OFF,BL PRINT,EX.RATE" sheetId="5" state="hidden" r:id="rId5"/>
    <sheet name="TSLINES ORIGINAL SCHED JP" sheetId="6" state="hidden" r:id="rId6"/>
  </sheets>
  <definedNames>
    <definedName name="_Fill">#REF!</definedName>
    <definedName name="JAPA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82" i="5" l="1"/>
  <c r="L682" i="5"/>
  <c r="K682" i="5"/>
  <c r="J682" i="5"/>
  <c r="I682" i="5"/>
  <c r="H682" i="5"/>
  <c r="G682" i="5"/>
  <c r="F682" i="5"/>
  <c r="D682" i="5"/>
  <c r="C682" i="5"/>
  <c r="M681" i="5"/>
  <c r="L681" i="5"/>
  <c r="K681" i="5"/>
  <c r="J681" i="5"/>
  <c r="I681" i="5"/>
  <c r="H681" i="5"/>
  <c r="G681" i="5"/>
  <c r="F681" i="5"/>
  <c r="E681" i="5"/>
  <c r="D681" i="5"/>
  <c r="C681" i="5"/>
  <c r="B681" i="5"/>
  <c r="A681" i="5"/>
  <c r="M680" i="5"/>
  <c r="L680" i="5"/>
  <c r="K680" i="5"/>
  <c r="J680" i="5"/>
  <c r="I680" i="5"/>
  <c r="H680" i="5"/>
  <c r="G680" i="5"/>
  <c r="F680" i="5"/>
  <c r="D680" i="5"/>
  <c r="C680" i="5"/>
  <c r="M679" i="5"/>
  <c r="L679" i="5"/>
  <c r="K679" i="5"/>
  <c r="J679" i="5"/>
  <c r="I679" i="5"/>
  <c r="H679" i="5"/>
  <c r="G679" i="5"/>
  <c r="F679" i="5"/>
  <c r="E679" i="5"/>
  <c r="D679" i="5"/>
  <c r="C679" i="5"/>
  <c r="B679" i="5"/>
  <c r="A679" i="5"/>
  <c r="M678" i="5"/>
  <c r="L678" i="5"/>
  <c r="K678" i="5"/>
  <c r="J678" i="5"/>
  <c r="I678" i="5"/>
  <c r="H678" i="5"/>
  <c r="G678" i="5"/>
  <c r="F678" i="5"/>
  <c r="D678" i="5"/>
  <c r="C678" i="5"/>
  <c r="M677" i="5"/>
  <c r="L677" i="5"/>
  <c r="K677" i="5"/>
  <c r="J677" i="5"/>
  <c r="I677" i="5"/>
  <c r="H677" i="5"/>
  <c r="G677" i="5"/>
  <c r="F677" i="5"/>
  <c r="E677" i="5"/>
  <c r="D677" i="5"/>
  <c r="C677" i="5"/>
  <c r="B677" i="5"/>
  <c r="A677" i="5"/>
  <c r="M676" i="5"/>
  <c r="L676" i="5"/>
  <c r="K676" i="5"/>
  <c r="J676" i="5"/>
  <c r="I676" i="5"/>
  <c r="H676" i="5"/>
  <c r="G676" i="5"/>
  <c r="F676" i="5"/>
  <c r="D676" i="5"/>
  <c r="C676" i="5"/>
  <c r="M675" i="5"/>
  <c r="L675" i="5"/>
  <c r="K675" i="5"/>
  <c r="J675" i="5"/>
  <c r="I675" i="5"/>
  <c r="H675" i="5"/>
  <c r="G675" i="5"/>
  <c r="F675" i="5"/>
  <c r="E675" i="5"/>
  <c r="D675" i="5"/>
  <c r="C675" i="5"/>
  <c r="B675" i="5"/>
  <c r="A675" i="5"/>
  <c r="M674" i="5"/>
  <c r="L674" i="5"/>
  <c r="K674" i="5"/>
  <c r="J674" i="5"/>
  <c r="I674" i="5"/>
  <c r="H674" i="5"/>
  <c r="G674" i="5"/>
  <c r="F674" i="5"/>
  <c r="D674" i="5"/>
  <c r="C674" i="5"/>
  <c r="M673" i="5"/>
  <c r="L673" i="5"/>
  <c r="K673" i="5"/>
  <c r="J673" i="5"/>
  <c r="I673" i="5"/>
  <c r="H673" i="5"/>
  <c r="G673" i="5"/>
  <c r="F673" i="5"/>
  <c r="E673" i="5"/>
  <c r="D673" i="5"/>
  <c r="C673" i="5"/>
  <c r="B673" i="5"/>
  <c r="A673" i="5"/>
  <c r="J672" i="5"/>
  <c r="I672" i="5"/>
  <c r="G672" i="5"/>
  <c r="M671" i="5"/>
  <c r="L671" i="5"/>
  <c r="K671" i="5"/>
  <c r="J671" i="5"/>
  <c r="I671" i="5"/>
  <c r="H671" i="5"/>
  <c r="F671" i="5"/>
  <c r="E671" i="5"/>
  <c r="M670" i="5"/>
  <c r="L670" i="5"/>
  <c r="K670" i="5"/>
  <c r="J670" i="5"/>
  <c r="I670" i="5"/>
  <c r="H670" i="5"/>
  <c r="G670" i="5"/>
  <c r="F670" i="5"/>
  <c r="E670" i="5"/>
  <c r="D670" i="5"/>
  <c r="C670" i="5"/>
  <c r="B670" i="5"/>
  <c r="A670" i="5"/>
  <c r="C669" i="5"/>
  <c r="C668" i="5"/>
  <c r="B668" i="5"/>
  <c r="M666" i="5"/>
  <c r="L666" i="5"/>
  <c r="K666" i="5"/>
  <c r="J666" i="5"/>
  <c r="I666" i="5"/>
  <c r="H666" i="5"/>
  <c r="G666" i="5"/>
  <c r="F666" i="5"/>
  <c r="D666" i="5"/>
  <c r="C666" i="5"/>
  <c r="M665" i="5"/>
  <c r="L665" i="5"/>
  <c r="K665" i="5"/>
  <c r="J665" i="5"/>
  <c r="I665" i="5"/>
  <c r="H665" i="5"/>
  <c r="G665" i="5"/>
  <c r="F665" i="5"/>
  <c r="E665" i="5"/>
  <c r="D665" i="5"/>
  <c r="C665" i="5"/>
  <c r="B665" i="5"/>
  <c r="A665" i="5"/>
  <c r="M664" i="5"/>
  <c r="L664" i="5"/>
  <c r="K664" i="5"/>
  <c r="J664" i="5"/>
  <c r="I664" i="5"/>
  <c r="H664" i="5"/>
  <c r="G664" i="5"/>
  <c r="F664" i="5"/>
  <c r="D664" i="5"/>
  <c r="C664" i="5"/>
  <c r="M663" i="5"/>
  <c r="L663" i="5"/>
  <c r="K663" i="5"/>
  <c r="J663" i="5"/>
  <c r="I663" i="5"/>
  <c r="H663" i="5"/>
  <c r="G663" i="5"/>
  <c r="F663" i="5"/>
  <c r="E663" i="5"/>
  <c r="D663" i="5"/>
  <c r="C663" i="5"/>
  <c r="B663" i="5"/>
  <c r="A663" i="5"/>
  <c r="M662" i="5"/>
  <c r="L662" i="5"/>
  <c r="K662" i="5"/>
  <c r="J662" i="5"/>
  <c r="I662" i="5"/>
  <c r="H662" i="5"/>
  <c r="G662" i="5"/>
  <c r="F662" i="5"/>
  <c r="D662" i="5"/>
  <c r="C662" i="5"/>
  <c r="M661" i="5"/>
  <c r="L661" i="5"/>
  <c r="K661" i="5"/>
  <c r="J661" i="5"/>
  <c r="I661" i="5"/>
  <c r="H661" i="5"/>
  <c r="G661" i="5"/>
  <c r="F661" i="5"/>
  <c r="E661" i="5"/>
  <c r="D661" i="5"/>
  <c r="C661" i="5"/>
  <c r="B661" i="5"/>
  <c r="A661" i="5"/>
  <c r="J660" i="5"/>
  <c r="I660" i="5"/>
  <c r="G660" i="5"/>
  <c r="M659" i="5"/>
  <c r="L659" i="5"/>
  <c r="K659" i="5"/>
  <c r="J659" i="5"/>
  <c r="I659" i="5"/>
  <c r="H659" i="5"/>
  <c r="F659" i="5"/>
  <c r="E659" i="5"/>
  <c r="M658" i="5"/>
  <c r="L658" i="5"/>
  <c r="K658" i="5"/>
  <c r="J658" i="5"/>
  <c r="I658" i="5"/>
  <c r="H658" i="5"/>
  <c r="G658" i="5"/>
  <c r="F658" i="5"/>
  <c r="E658" i="5"/>
  <c r="D658" i="5"/>
  <c r="C658" i="5"/>
  <c r="B658" i="5"/>
  <c r="A658" i="5"/>
  <c r="B656" i="5"/>
  <c r="M654" i="5"/>
  <c r="L654" i="5"/>
  <c r="K654" i="5"/>
  <c r="J654" i="5"/>
  <c r="I654" i="5"/>
  <c r="H654" i="5"/>
  <c r="G654" i="5"/>
  <c r="F654" i="5"/>
  <c r="D654" i="5"/>
  <c r="C654" i="5"/>
  <c r="M653" i="5"/>
  <c r="L653" i="5"/>
  <c r="K653" i="5"/>
  <c r="J653" i="5"/>
  <c r="I653" i="5"/>
  <c r="H653" i="5"/>
  <c r="G653" i="5"/>
  <c r="F653" i="5"/>
  <c r="E653" i="5"/>
  <c r="D653" i="5"/>
  <c r="C653" i="5"/>
  <c r="B653" i="5"/>
  <c r="A653" i="5"/>
  <c r="M652" i="5"/>
  <c r="L652" i="5"/>
  <c r="K652" i="5"/>
  <c r="J652" i="5"/>
  <c r="I652" i="5"/>
  <c r="H652" i="5"/>
  <c r="G652" i="5"/>
  <c r="F652" i="5"/>
  <c r="D652" i="5"/>
  <c r="C652" i="5"/>
  <c r="M651" i="5"/>
  <c r="L651" i="5"/>
  <c r="K651" i="5"/>
  <c r="J651" i="5"/>
  <c r="I651" i="5"/>
  <c r="H651" i="5"/>
  <c r="G651" i="5"/>
  <c r="F651" i="5"/>
  <c r="E651" i="5"/>
  <c r="D651" i="5"/>
  <c r="C651" i="5"/>
  <c r="B651" i="5"/>
  <c r="A651" i="5"/>
  <c r="J650" i="5"/>
  <c r="I650" i="5"/>
  <c r="G650" i="5"/>
  <c r="M649" i="5"/>
  <c r="L649" i="5"/>
  <c r="K649" i="5"/>
  <c r="J649" i="5"/>
  <c r="I649" i="5"/>
  <c r="H649" i="5"/>
  <c r="F649" i="5"/>
  <c r="E649" i="5"/>
  <c r="M648" i="5"/>
  <c r="L648" i="5"/>
  <c r="K648" i="5"/>
  <c r="J648" i="5"/>
  <c r="I648" i="5"/>
  <c r="H648" i="5"/>
  <c r="G648" i="5"/>
  <c r="F648" i="5"/>
  <c r="E648" i="5"/>
  <c r="D648" i="5"/>
  <c r="C648" i="5"/>
  <c r="B648" i="5"/>
  <c r="A648" i="5"/>
  <c r="C647" i="5"/>
  <c r="C646" i="5"/>
  <c r="B646" i="5"/>
  <c r="M644" i="5"/>
  <c r="L644" i="5"/>
  <c r="K644" i="5"/>
  <c r="J644" i="5"/>
  <c r="I644" i="5"/>
  <c r="H644" i="5"/>
  <c r="G644" i="5"/>
  <c r="F644" i="5"/>
  <c r="D644" i="5"/>
  <c r="C644" i="5"/>
  <c r="M643" i="5"/>
  <c r="L643" i="5"/>
  <c r="K643" i="5"/>
  <c r="J643" i="5"/>
  <c r="I643" i="5"/>
  <c r="H643" i="5"/>
  <c r="G643" i="5"/>
  <c r="F643" i="5"/>
  <c r="E643" i="5"/>
  <c r="D643" i="5"/>
  <c r="C643" i="5"/>
  <c r="B643" i="5"/>
  <c r="A643" i="5"/>
  <c r="M642" i="5"/>
  <c r="L642" i="5"/>
  <c r="K642" i="5"/>
  <c r="J642" i="5"/>
  <c r="I642" i="5"/>
  <c r="H642" i="5"/>
  <c r="G642" i="5"/>
  <c r="F642" i="5"/>
  <c r="D642" i="5"/>
  <c r="C642" i="5"/>
  <c r="M641" i="5"/>
  <c r="L641" i="5"/>
  <c r="K641" i="5"/>
  <c r="J641" i="5"/>
  <c r="I641" i="5"/>
  <c r="H641" i="5"/>
  <c r="G641" i="5"/>
  <c r="F641" i="5"/>
  <c r="E641" i="5"/>
  <c r="D641" i="5"/>
  <c r="C641" i="5"/>
  <c r="B641" i="5"/>
  <c r="A641" i="5"/>
  <c r="J640" i="5"/>
  <c r="I640" i="5"/>
  <c r="G640" i="5"/>
  <c r="M639" i="5"/>
  <c r="L639" i="5"/>
  <c r="K639" i="5"/>
  <c r="J639" i="5"/>
  <c r="I639" i="5"/>
  <c r="H639" i="5"/>
  <c r="F639" i="5"/>
  <c r="E639" i="5"/>
  <c r="M638" i="5"/>
  <c r="L638" i="5"/>
  <c r="K638" i="5"/>
  <c r="J638" i="5"/>
  <c r="I638" i="5"/>
  <c r="H638" i="5"/>
  <c r="G638" i="5"/>
  <c r="F638" i="5"/>
  <c r="E638" i="5"/>
  <c r="D638" i="5"/>
  <c r="C638" i="5"/>
  <c r="B638" i="5"/>
  <c r="A638" i="5"/>
  <c r="C637" i="5"/>
  <c r="C636" i="5"/>
  <c r="B636" i="5"/>
  <c r="M633" i="5"/>
  <c r="L633" i="5"/>
  <c r="K633" i="5"/>
  <c r="J633" i="5"/>
  <c r="I633" i="5"/>
  <c r="H633" i="5"/>
  <c r="G633" i="5"/>
  <c r="F633" i="5"/>
  <c r="D633" i="5"/>
  <c r="C633" i="5"/>
  <c r="M632" i="5"/>
  <c r="L632" i="5"/>
  <c r="K632" i="5"/>
  <c r="J632" i="5"/>
  <c r="I632" i="5"/>
  <c r="H632" i="5"/>
  <c r="G632" i="5"/>
  <c r="F632" i="5"/>
  <c r="E632" i="5"/>
  <c r="D632" i="5"/>
  <c r="C632" i="5"/>
  <c r="B632" i="5"/>
  <c r="A632" i="5"/>
  <c r="M631" i="5"/>
  <c r="L631" i="5"/>
  <c r="K631" i="5"/>
  <c r="J631" i="5"/>
  <c r="I631" i="5"/>
  <c r="H631" i="5"/>
  <c r="G631" i="5"/>
  <c r="F631" i="5"/>
  <c r="D631" i="5"/>
  <c r="C631" i="5"/>
  <c r="M630" i="5"/>
  <c r="L630" i="5"/>
  <c r="K630" i="5"/>
  <c r="J630" i="5"/>
  <c r="I630" i="5"/>
  <c r="H630" i="5"/>
  <c r="G630" i="5"/>
  <c r="F630" i="5"/>
  <c r="E630" i="5"/>
  <c r="D630" i="5"/>
  <c r="C630" i="5"/>
  <c r="B630" i="5"/>
  <c r="A630" i="5"/>
  <c r="M629" i="5"/>
  <c r="L629" i="5"/>
  <c r="K629" i="5"/>
  <c r="J629" i="5"/>
  <c r="I629" i="5"/>
  <c r="H629" i="5"/>
  <c r="G629" i="5"/>
  <c r="F629" i="5"/>
  <c r="D629" i="5"/>
  <c r="C629" i="5"/>
  <c r="M628" i="5"/>
  <c r="L628" i="5"/>
  <c r="K628" i="5"/>
  <c r="J628" i="5"/>
  <c r="I628" i="5"/>
  <c r="H628" i="5"/>
  <c r="G628" i="5"/>
  <c r="F628" i="5"/>
  <c r="E628" i="5"/>
  <c r="D628" i="5"/>
  <c r="C628" i="5"/>
  <c r="B628" i="5"/>
  <c r="A628" i="5"/>
  <c r="K627" i="5"/>
  <c r="J627" i="5"/>
  <c r="I627" i="5"/>
  <c r="G627" i="5"/>
  <c r="M626" i="5"/>
  <c r="L626" i="5"/>
  <c r="K626" i="5"/>
  <c r="J626" i="5"/>
  <c r="I626" i="5"/>
  <c r="H626" i="5"/>
  <c r="F626" i="5"/>
  <c r="E626" i="5"/>
  <c r="M625" i="5"/>
  <c r="L625" i="5"/>
  <c r="K625" i="5"/>
  <c r="J625" i="5"/>
  <c r="I625" i="5"/>
  <c r="H625" i="5"/>
  <c r="G625" i="5"/>
  <c r="F625" i="5"/>
  <c r="E625" i="5"/>
  <c r="D625" i="5"/>
  <c r="C625" i="5"/>
  <c r="B625" i="5"/>
  <c r="A625" i="5"/>
  <c r="C624" i="5"/>
  <c r="B622" i="5"/>
  <c r="M621" i="5"/>
  <c r="L621" i="5"/>
  <c r="K621" i="5"/>
  <c r="J621" i="5"/>
  <c r="I621" i="5"/>
  <c r="H621" i="5"/>
  <c r="G621" i="5"/>
  <c r="F621" i="5"/>
  <c r="D621" i="5"/>
  <c r="C621" i="5"/>
  <c r="M620" i="5"/>
  <c r="L620" i="5"/>
  <c r="K620" i="5"/>
  <c r="J620" i="5"/>
  <c r="I620" i="5"/>
  <c r="H620" i="5"/>
  <c r="G620" i="5"/>
  <c r="F620" i="5"/>
  <c r="E620" i="5"/>
  <c r="D620" i="5"/>
  <c r="C620" i="5"/>
  <c r="B620" i="5"/>
  <c r="A620" i="5"/>
  <c r="M619" i="5"/>
  <c r="L619" i="5"/>
  <c r="K619" i="5"/>
  <c r="J619" i="5"/>
  <c r="I619" i="5"/>
  <c r="H619" i="5"/>
  <c r="G619" i="5"/>
  <c r="F619" i="5"/>
  <c r="D619" i="5"/>
  <c r="C619" i="5"/>
  <c r="M618" i="5"/>
  <c r="L618" i="5"/>
  <c r="K618" i="5"/>
  <c r="J618" i="5"/>
  <c r="I618" i="5"/>
  <c r="H618" i="5"/>
  <c r="G618" i="5"/>
  <c r="F618" i="5"/>
  <c r="E618" i="5"/>
  <c r="D618" i="5"/>
  <c r="C618" i="5"/>
  <c r="B618" i="5"/>
  <c r="A618" i="5"/>
  <c r="K617" i="5"/>
  <c r="J617" i="5"/>
  <c r="I617" i="5"/>
  <c r="G617" i="5"/>
  <c r="M616" i="5"/>
  <c r="L616" i="5"/>
  <c r="K616" i="5"/>
  <c r="J616" i="5"/>
  <c r="I616" i="5"/>
  <c r="H616" i="5"/>
  <c r="F616" i="5"/>
  <c r="E616" i="5"/>
  <c r="M615" i="5"/>
  <c r="L615" i="5"/>
  <c r="K615" i="5"/>
  <c r="J615" i="5"/>
  <c r="I615" i="5"/>
  <c r="H615" i="5"/>
  <c r="G615" i="5"/>
  <c r="F615" i="5"/>
  <c r="E615" i="5"/>
  <c r="D615" i="5"/>
  <c r="C615" i="5"/>
  <c r="B615" i="5"/>
  <c r="A615" i="5"/>
  <c r="C614" i="5"/>
  <c r="B613" i="5"/>
  <c r="M611" i="5"/>
  <c r="L611" i="5"/>
  <c r="K611" i="5"/>
  <c r="J611" i="5"/>
  <c r="I611" i="5"/>
  <c r="H611" i="5"/>
  <c r="G611" i="5"/>
  <c r="F611" i="5"/>
  <c r="D611" i="5"/>
  <c r="C611" i="5"/>
  <c r="M610" i="5"/>
  <c r="L610" i="5"/>
  <c r="K610" i="5"/>
  <c r="J610" i="5"/>
  <c r="I610" i="5"/>
  <c r="H610" i="5"/>
  <c r="G610" i="5"/>
  <c r="F610" i="5"/>
  <c r="E610" i="5"/>
  <c r="D610" i="5"/>
  <c r="C610" i="5"/>
  <c r="B610" i="5"/>
  <c r="A610" i="5"/>
  <c r="M609" i="5"/>
  <c r="L609" i="5"/>
  <c r="K609" i="5"/>
  <c r="J609" i="5"/>
  <c r="I609" i="5"/>
  <c r="H609" i="5"/>
  <c r="G609" i="5"/>
  <c r="F609" i="5"/>
  <c r="D609" i="5"/>
  <c r="C609" i="5"/>
  <c r="M608" i="5"/>
  <c r="L608" i="5"/>
  <c r="K608" i="5"/>
  <c r="J608" i="5"/>
  <c r="I608" i="5"/>
  <c r="H608" i="5"/>
  <c r="G608" i="5"/>
  <c r="F608" i="5"/>
  <c r="E608" i="5"/>
  <c r="D608" i="5"/>
  <c r="C608" i="5"/>
  <c r="B608" i="5"/>
  <c r="A608" i="5"/>
  <c r="M607" i="5"/>
  <c r="L607" i="5"/>
  <c r="K607" i="5"/>
  <c r="J607" i="5"/>
  <c r="I607" i="5"/>
  <c r="H607" i="5"/>
  <c r="G607" i="5"/>
  <c r="F607" i="5"/>
  <c r="D607" i="5"/>
  <c r="C607" i="5"/>
  <c r="M606" i="5"/>
  <c r="L606" i="5"/>
  <c r="K606" i="5"/>
  <c r="J606" i="5"/>
  <c r="I606" i="5"/>
  <c r="H606" i="5"/>
  <c r="G606" i="5"/>
  <c r="F606" i="5"/>
  <c r="E606" i="5"/>
  <c r="D606" i="5"/>
  <c r="C606" i="5"/>
  <c r="B606" i="5"/>
  <c r="A606" i="5"/>
  <c r="K605" i="5"/>
  <c r="J605" i="5"/>
  <c r="I605" i="5"/>
  <c r="G605" i="5"/>
  <c r="M604" i="5"/>
  <c r="L604" i="5"/>
  <c r="K604" i="5"/>
  <c r="J604" i="5"/>
  <c r="I604" i="5"/>
  <c r="H604" i="5"/>
  <c r="F604" i="5"/>
  <c r="E604" i="5"/>
  <c r="M603" i="5"/>
  <c r="L603" i="5"/>
  <c r="K603" i="5"/>
  <c r="J603" i="5"/>
  <c r="I603" i="5"/>
  <c r="H603" i="5"/>
  <c r="G603" i="5"/>
  <c r="F603" i="5"/>
  <c r="E603" i="5"/>
  <c r="D603" i="5"/>
  <c r="C603" i="5"/>
  <c r="B603" i="5"/>
  <c r="A603" i="5"/>
  <c r="C602" i="5"/>
  <c r="B601" i="5"/>
  <c r="M599" i="5"/>
  <c r="L599" i="5"/>
  <c r="K599" i="5"/>
  <c r="J599" i="5"/>
  <c r="I599" i="5"/>
  <c r="H599" i="5"/>
  <c r="G599" i="5"/>
  <c r="F599" i="5"/>
  <c r="D599" i="5"/>
  <c r="C599" i="5"/>
  <c r="M598" i="5"/>
  <c r="L598" i="5"/>
  <c r="K598" i="5"/>
  <c r="J598" i="5"/>
  <c r="I598" i="5"/>
  <c r="H598" i="5"/>
  <c r="G598" i="5"/>
  <c r="F598" i="5"/>
  <c r="E598" i="5"/>
  <c r="D598" i="5"/>
  <c r="C598" i="5"/>
  <c r="B598" i="5"/>
  <c r="A598" i="5"/>
  <c r="M597" i="5"/>
  <c r="L597" i="5"/>
  <c r="K597" i="5"/>
  <c r="J597" i="5"/>
  <c r="I597" i="5"/>
  <c r="H597" i="5"/>
  <c r="G597" i="5"/>
  <c r="F597" i="5"/>
  <c r="D597" i="5"/>
  <c r="C597" i="5"/>
  <c r="M596" i="5"/>
  <c r="L596" i="5"/>
  <c r="K596" i="5"/>
  <c r="J596" i="5"/>
  <c r="I596" i="5"/>
  <c r="H596" i="5"/>
  <c r="G596" i="5"/>
  <c r="F596" i="5"/>
  <c r="E596" i="5"/>
  <c r="D596" i="5"/>
  <c r="C596" i="5"/>
  <c r="B596" i="5"/>
  <c r="A596" i="5"/>
  <c r="M595" i="5"/>
  <c r="L595" i="5"/>
  <c r="K595" i="5"/>
  <c r="J595" i="5"/>
  <c r="I595" i="5"/>
  <c r="H595" i="5"/>
  <c r="G595" i="5"/>
  <c r="F595" i="5"/>
  <c r="D595" i="5"/>
  <c r="C595" i="5"/>
  <c r="M594" i="5"/>
  <c r="L594" i="5"/>
  <c r="K594" i="5"/>
  <c r="J594" i="5"/>
  <c r="I594" i="5"/>
  <c r="H594" i="5"/>
  <c r="G594" i="5"/>
  <c r="F594" i="5"/>
  <c r="E594" i="5"/>
  <c r="D594" i="5"/>
  <c r="C594" i="5"/>
  <c r="B594" i="5"/>
  <c r="A594" i="5"/>
  <c r="K593" i="5"/>
  <c r="J593" i="5"/>
  <c r="I593" i="5"/>
  <c r="G593" i="5"/>
  <c r="M592" i="5"/>
  <c r="L592" i="5"/>
  <c r="K592" i="5"/>
  <c r="J592" i="5"/>
  <c r="I592" i="5"/>
  <c r="H592" i="5"/>
  <c r="F592" i="5"/>
  <c r="E592" i="5"/>
  <c r="M591" i="5"/>
  <c r="L591" i="5"/>
  <c r="K591" i="5"/>
  <c r="J591" i="5"/>
  <c r="I591" i="5"/>
  <c r="H591" i="5"/>
  <c r="G591" i="5"/>
  <c r="F591" i="5"/>
  <c r="E591" i="5"/>
  <c r="D591" i="5"/>
  <c r="C591" i="5"/>
  <c r="B591" i="5"/>
  <c r="A591" i="5"/>
  <c r="C590" i="5"/>
  <c r="C589" i="5"/>
  <c r="B589" i="5"/>
  <c r="M587" i="5"/>
  <c r="L587" i="5"/>
  <c r="K587" i="5"/>
  <c r="J587" i="5"/>
  <c r="I587" i="5"/>
  <c r="H587" i="5"/>
  <c r="G587" i="5"/>
  <c r="F587" i="5"/>
  <c r="D587" i="5"/>
  <c r="C587" i="5"/>
  <c r="M586" i="5"/>
  <c r="L586" i="5"/>
  <c r="K586" i="5"/>
  <c r="J586" i="5"/>
  <c r="I586" i="5"/>
  <c r="H586" i="5"/>
  <c r="G586" i="5"/>
  <c r="F586" i="5"/>
  <c r="E586" i="5"/>
  <c r="D586" i="5"/>
  <c r="C586" i="5"/>
  <c r="B586" i="5"/>
  <c r="A586" i="5"/>
  <c r="M585" i="5"/>
  <c r="L585" i="5"/>
  <c r="K585" i="5"/>
  <c r="J585" i="5"/>
  <c r="I585" i="5"/>
  <c r="H585" i="5"/>
  <c r="G585" i="5"/>
  <c r="F585" i="5"/>
  <c r="D585" i="5"/>
  <c r="C585" i="5"/>
  <c r="M584" i="5"/>
  <c r="L584" i="5"/>
  <c r="K584" i="5"/>
  <c r="J584" i="5"/>
  <c r="I584" i="5"/>
  <c r="H584" i="5"/>
  <c r="G584" i="5"/>
  <c r="F584" i="5"/>
  <c r="E584" i="5"/>
  <c r="D584" i="5"/>
  <c r="C584" i="5"/>
  <c r="B584" i="5"/>
  <c r="A584" i="5"/>
  <c r="K583" i="5"/>
  <c r="J583" i="5"/>
  <c r="I583" i="5"/>
  <c r="G583" i="5"/>
  <c r="M582" i="5"/>
  <c r="L582" i="5"/>
  <c r="K582" i="5"/>
  <c r="J582" i="5"/>
  <c r="I582" i="5"/>
  <c r="H582" i="5"/>
  <c r="F582" i="5"/>
  <c r="E582" i="5"/>
  <c r="M581" i="5"/>
  <c r="L581" i="5"/>
  <c r="K581" i="5"/>
  <c r="J581" i="5"/>
  <c r="I581" i="5"/>
  <c r="H581" i="5"/>
  <c r="G581" i="5"/>
  <c r="F581" i="5"/>
  <c r="E581" i="5"/>
  <c r="D581" i="5"/>
  <c r="C581" i="5"/>
  <c r="B581" i="5"/>
  <c r="A581" i="5"/>
  <c r="C580" i="5"/>
  <c r="B579" i="5"/>
  <c r="M577" i="5"/>
  <c r="L577" i="5"/>
  <c r="K577" i="5"/>
  <c r="J577" i="5"/>
  <c r="I577" i="5"/>
  <c r="H577" i="5"/>
  <c r="G577" i="5"/>
  <c r="F577" i="5"/>
  <c r="D577" i="5"/>
  <c r="C577" i="5"/>
  <c r="M576" i="5"/>
  <c r="L576" i="5"/>
  <c r="K576" i="5"/>
  <c r="J576" i="5"/>
  <c r="I576" i="5"/>
  <c r="H576" i="5"/>
  <c r="G576" i="5"/>
  <c r="F576" i="5"/>
  <c r="E576" i="5"/>
  <c r="D576" i="5"/>
  <c r="C576" i="5"/>
  <c r="B576" i="5"/>
  <c r="A576" i="5"/>
  <c r="M575" i="5"/>
  <c r="L575" i="5"/>
  <c r="K575" i="5"/>
  <c r="J575" i="5"/>
  <c r="I575" i="5"/>
  <c r="H575" i="5"/>
  <c r="G575" i="5"/>
  <c r="F575" i="5"/>
  <c r="D575" i="5"/>
  <c r="C575" i="5"/>
  <c r="M574" i="5"/>
  <c r="L574" i="5"/>
  <c r="K574" i="5"/>
  <c r="J574" i="5"/>
  <c r="I574" i="5"/>
  <c r="H574" i="5"/>
  <c r="G574" i="5"/>
  <c r="F574" i="5"/>
  <c r="E574" i="5"/>
  <c r="D574" i="5"/>
  <c r="C574" i="5"/>
  <c r="B574" i="5"/>
  <c r="A574" i="5"/>
  <c r="K573" i="5"/>
  <c r="J573" i="5"/>
  <c r="I573" i="5"/>
  <c r="G573" i="5"/>
  <c r="M572" i="5"/>
  <c r="L572" i="5"/>
  <c r="K572" i="5"/>
  <c r="J572" i="5"/>
  <c r="I572" i="5"/>
  <c r="H572" i="5"/>
  <c r="F572" i="5"/>
  <c r="E572" i="5"/>
  <c r="M571" i="5"/>
  <c r="L571" i="5"/>
  <c r="K571" i="5"/>
  <c r="J571" i="5"/>
  <c r="I571" i="5"/>
  <c r="H571" i="5"/>
  <c r="G571" i="5"/>
  <c r="F571" i="5"/>
  <c r="E571" i="5"/>
  <c r="D571" i="5"/>
  <c r="C571" i="5"/>
  <c r="B571" i="5"/>
  <c r="A571" i="5"/>
  <c r="C570" i="5"/>
  <c r="B569" i="5"/>
  <c r="M567" i="5"/>
  <c r="L567" i="5"/>
  <c r="K567" i="5"/>
  <c r="J567" i="5"/>
  <c r="I567" i="5"/>
  <c r="H567" i="5"/>
  <c r="G567" i="5"/>
  <c r="F567" i="5"/>
  <c r="D567" i="5"/>
  <c r="C567" i="5"/>
  <c r="M566" i="5"/>
  <c r="L566" i="5"/>
  <c r="K566" i="5"/>
  <c r="J566" i="5"/>
  <c r="I566" i="5"/>
  <c r="H566" i="5"/>
  <c r="G566" i="5"/>
  <c r="F566" i="5"/>
  <c r="E566" i="5"/>
  <c r="D566" i="5"/>
  <c r="C566" i="5"/>
  <c r="B566" i="5"/>
  <c r="A566" i="5"/>
  <c r="M565" i="5"/>
  <c r="L565" i="5"/>
  <c r="K565" i="5"/>
  <c r="J565" i="5"/>
  <c r="I565" i="5"/>
  <c r="H565" i="5"/>
  <c r="G565" i="5"/>
  <c r="F565" i="5"/>
  <c r="D565" i="5"/>
  <c r="C565" i="5"/>
  <c r="M564" i="5"/>
  <c r="L564" i="5"/>
  <c r="K564" i="5"/>
  <c r="J564" i="5"/>
  <c r="I564" i="5"/>
  <c r="H564" i="5"/>
  <c r="G564" i="5"/>
  <c r="F564" i="5"/>
  <c r="E564" i="5"/>
  <c r="D564" i="5"/>
  <c r="C564" i="5"/>
  <c r="B564" i="5"/>
  <c r="A564" i="5"/>
  <c r="M563" i="5"/>
  <c r="L563" i="5"/>
  <c r="K563" i="5"/>
  <c r="J563" i="5"/>
  <c r="I563" i="5"/>
  <c r="H563" i="5"/>
  <c r="G563" i="5"/>
  <c r="F563" i="5"/>
  <c r="D563" i="5"/>
  <c r="C563" i="5"/>
  <c r="M562" i="5"/>
  <c r="L562" i="5"/>
  <c r="K562" i="5"/>
  <c r="J562" i="5"/>
  <c r="I562" i="5"/>
  <c r="H562" i="5"/>
  <c r="G562" i="5"/>
  <c r="F562" i="5"/>
  <c r="E562" i="5"/>
  <c r="D562" i="5"/>
  <c r="C562" i="5"/>
  <c r="B562" i="5"/>
  <c r="A562" i="5"/>
  <c r="M561" i="5"/>
  <c r="L561" i="5"/>
  <c r="K561" i="5"/>
  <c r="J561" i="5"/>
  <c r="I561" i="5"/>
  <c r="H561" i="5"/>
  <c r="G561" i="5"/>
  <c r="F561" i="5"/>
  <c r="D561" i="5"/>
  <c r="C561" i="5"/>
  <c r="M560" i="5"/>
  <c r="L560" i="5"/>
  <c r="K560" i="5"/>
  <c r="J560" i="5"/>
  <c r="I560" i="5"/>
  <c r="H560" i="5"/>
  <c r="G560" i="5"/>
  <c r="F560" i="5"/>
  <c r="E560" i="5"/>
  <c r="D560" i="5"/>
  <c r="C560" i="5"/>
  <c r="B560" i="5"/>
  <c r="A560" i="5"/>
  <c r="M559" i="5"/>
  <c r="L559" i="5"/>
  <c r="K559" i="5"/>
  <c r="J559" i="5"/>
  <c r="I559" i="5"/>
  <c r="H559" i="5"/>
  <c r="G559" i="5"/>
  <c r="F559" i="5"/>
  <c r="D559" i="5"/>
  <c r="C559" i="5"/>
  <c r="M558" i="5"/>
  <c r="L558" i="5"/>
  <c r="K558" i="5"/>
  <c r="J558" i="5"/>
  <c r="I558" i="5"/>
  <c r="H558" i="5"/>
  <c r="G558" i="5"/>
  <c r="F558" i="5"/>
  <c r="E558" i="5"/>
  <c r="D558" i="5"/>
  <c r="C558" i="5"/>
  <c r="B558" i="5"/>
  <c r="A558" i="5"/>
  <c r="M557" i="5"/>
  <c r="L557" i="5"/>
  <c r="K557" i="5"/>
  <c r="J557" i="5"/>
  <c r="I557" i="5"/>
  <c r="H557" i="5"/>
  <c r="G557" i="5"/>
  <c r="F557" i="5"/>
  <c r="D557" i="5"/>
  <c r="C557" i="5"/>
  <c r="M556" i="5"/>
  <c r="L556" i="5"/>
  <c r="K556" i="5"/>
  <c r="J556" i="5"/>
  <c r="I556" i="5"/>
  <c r="H556" i="5"/>
  <c r="G556" i="5"/>
  <c r="F556" i="5"/>
  <c r="E556" i="5"/>
  <c r="D556" i="5"/>
  <c r="C556" i="5"/>
  <c r="B556" i="5"/>
  <c r="A556" i="5"/>
  <c r="K555" i="5"/>
  <c r="J555" i="5"/>
  <c r="I555" i="5"/>
  <c r="G555" i="5"/>
  <c r="M554" i="5"/>
  <c r="L554" i="5"/>
  <c r="K554" i="5"/>
  <c r="J554" i="5"/>
  <c r="I554" i="5"/>
  <c r="H554" i="5"/>
  <c r="F554" i="5"/>
  <c r="E554" i="5"/>
  <c r="M553" i="5"/>
  <c r="L553" i="5"/>
  <c r="K553" i="5"/>
  <c r="J553" i="5"/>
  <c r="I553" i="5"/>
  <c r="H553" i="5"/>
  <c r="G553" i="5"/>
  <c r="F553" i="5"/>
  <c r="E553" i="5"/>
  <c r="D553" i="5"/>
  <c r="C553" i="5"/>
  <c r="B553" i="5"/>
  <c r="A553" i="5"/>
  <c r="C552" i="5"/>
  <c r="B551" i="5"/>
  <c r="M549" i="5"/>
  <c r="L549" i="5"/>
  <c r="K549" i="5"/>
  <c r="J549" i="5"/>
  <c r="I549" i="5"/>
  <c r="H549" i="5"/>
  <c r="G549" i="5"/>
  <c r="F549" i="5"/>
  <c r="D549" i="5"/>
  <c r="C549" i="5"/>
  <c r="M548" i="5"/>
  <c r="L548" i="5"/>
  <c r="K548" i="5"/>
  <c r="J548" i="5"/>
  <c r="I548" i="5"/>
  <c r="H548" i="5"/>
  <c r="G548" i="5"/>
  <c r="F548" i="5"/>
  <c r="E548" i="5"/>
  <c r="D548" i="5"/>
  <c r="C548" i="5"/>
  <c r="B548" i="5"/>
  <c r="A548" i="5"/>
  <c r="M547" i="5"/>
  <c r="L547" i="5"/>
  <c r="K547" i="5"/>
  <c r="J547" i="5"/>
  <c r="I547" i="5"/>
  <c r="H547" i="5"/>
  <c r="G547" i="5"/>
  <c r="F547" i="5"/>
  <c r="D547" i="5"/>
  <c r="C547" i="5"/>
  <c r="M546" i="5"/>
  <c r="L546" i="5"/>
  <c r="K546" i="5"/>
  <c r="J546" i="5"/>
  <c r="I546" i="5"/>
  <c r="H546" i="5"/>
  <c r="G546" i="5"/>
  <c r="F546" i="5"/>
  <c r="E546" i="5"/>
  <c r="D546" i="5"/>
  <c r="C546" i="5"/>
  <c r="B546" i="5"/>
  <c r="A546" i="5"/>
  <c r="K545" i="5"/>
  <c r="J545" i="5"/>
  <c r="I545" i="5"/>
  <c r="G545" i="5"/>
  <c r="M544" i="5"/>
  <c r="L544" i="5"/>
  <c r="K544" i="5"/>
  <c r="J544" i="5"/>
  <c r="I544" i="5"/>
  <c r="H544" i="5"/>
  <c r="F544" i="5"/>
  <c r="E544" i="5"/>
  <c r="M543" i="5"/>
  <c r="L543" i="5"/>
  <c r="K543" i="5"/>
  <c r="J543" i="5"/>
  <c r="I543" i="5"/>
  <c r="H543" i="5"/>
  <c r="G543" i="5"/>
  <c r="F543" i="5"/>
  <c r="E543" i="5"/>
  <c r="D543" i="5"/>
  <c r="C543" i="5"/>
  <c r="B543" i="5"/>
  <c r="A543" i="5"/>
  <c r="C542" i="5"/>
  <c r="B541" i="5"/>
  <c r="M539" i="5"/>
  <c r="L539" i="5"/>
  <c r="K539" i="5"/>
  <c r="J539" i="5"/>
  <c r="I539" i="5"/>
  <c r="H539" i="5"/>
  <c r="G539" i="5"/>
  <c r="F539" i="5"/>
  <c r="D539" i="5"/>
  <c r="C539" i="5"/>
  <c r="M538" i="5"/>
  <c r="L538" i="5"/>
  <c r="K538" i="5"/>
  <c r="J538" i="5"/>
  <c r="I538" i="5"/>
  <c r="H538" i="5"/>
  <c r="G538" i="5"/>
  <c r="F538" i="5"/>
  <c r="E538" i="5"/>
  <c r="D538" i="5"/>
  <c r="C538" i="5"/>
  <c r="B538" i="5"/>
  <c r="A538" i="5"/>
  <c r="M537" i="5"/>
  <c r="L537" i="5"/>
  <c r="K537" i="5"/>
  <c r="J537" i="5"/>
  <c r="I537" i="5"/>
  <c r="H537" i="5"/>
  <c r="G537" i="5"/>
  <c r="F537" i="5"/>
  <c r="D537" i="5"/>
  <c r="C537" i="5"/>
  <c r="M536" i="5"/>
  <c r="L536" i="5"/>
  <c r="K536" i="5"/>
  <c r="J536" i="5"/>
  <c r="I536" i="5"/>
  <c r="H536" i="5"/>
  <c r="G536" i="5"/>
  <c r="F536" i="5"/>
  <c r="E536" i="5"/>
  <c r="D536" i="5"/>
  <c r="C536" i="5"/>
  <c r="B536" i="5"/>
  <c r="A536" i="5"/>
  <c r="M535" i="5"/>
  <c r="L535" i="5"/>
  <c r="K535" i="5"/>
  <c r="J535" i="5"/>
  <c r="I535" i="5"/>
  <c r="H535" i="5"/>
  <c r="G535" i="5"/>
  <c r="F535" i="5"/>
  <c r="D535" i="5"/>
  <c r="C535" i="5"/>
  <c r="M534" i="5"/>
  <c r="L534" i="5"/>
  <c r="K534" i="5"/>
  <c r="J534" i="5"/>
  <c r="I534" i="5"/>
  <c r="H534" i="5"/>
  <c r="G534" i="5"/>
  <c r="F534" i="5"/>
  <c r="E534" i="5"/>
  <c r="D534" i="5"/>
  <c r="C534" i="5"/>
  <c r="B534" i="5"/>
  <c r="A534" i="5"/>
  <c r="K533" i="5"/>
  <c r="J533" i="5"/>
  <c r="I533" i="5"/>
  <c r="G533" i="5"/>
  <c r="M532" i="5"/>
  <c r="L532" i="5"/>
  <c r="K532" i="5"/>
  <c r="J532" i="5"/>
  <c r="I532" i="5"/>
  <c r="H532" i="5"/>
  <c r="F532" i="5"/>
  <c r="E532" i="5"/>
  <c r="M531" i="5"/>
  <c r="L531" i="5"/>
  <c r="K531" i="5"/>
  <c r="J531" i="5"/>
  <c r="I531" i="5"/>
  <c r="H531" i="5"/>
  <c r="G531" i="5"/>
  <c r="F531" i="5"/>
  <c r="E531" i="5"/>
  <c r="D531" i="5"/>
  <c r="C531" i="5"/>
  <c r="B531" i="5"/>
  <c r="A531" i="5"/>
  <c r="C530" i="5"/>
  <c r="B529" i="5"/>
  <c r="M527" i="5"/>
  <c r="L527" i="5"/>
  <c r="K527" i="5"/>
  <c r="J527" i="5"/>
  <c r="I527" i="5"/>
  <c r="H527" i="5"/>
  <c r="G527" i="5"/>
  <c r="F527" i="5"/>
  <c r="D527" i="5"/>
  <c r="C527" i="5"/>
  <c r="M526" i="5"/>
  <c r="L526" i="5"/>
  <c r="K526" i="5"/>
  <c r="J526" i="5"/>
  <c r="I526" i="5"/>
  <c r="H526" i="5"/>
  <c r="G526" i="5"/>
  <c r="F526" i="5"/>
  <c r="E526" i="5"/>
  <c r="D526" i="5"/>
  <c r="C526" i="5"/>
  <c r="B526" i="5"/>
  <c r="A526" i="5"/>
  <c r="M525" i="5"/>
  <c r="L525" i="5"/>
  <c r="K525" i="5"/>
  <c r="J525" i="5"/>
  <c r="I525" i="5"/>
  <c r="H525" i="5"/>
  <c r="G525" i="5"/>
  <c r="F525" i="5"/>
  <c r="D525" i="5"/>
  <c r="C525" i="5"/>
  <c r="M524" i="5"/>
  <c r="L524" i="5"/>
  <c r="K524" i="5"/>
  <c r="J524" i="5"/>
  <c r="I524" i="5"/>
  <c r="H524" i="5"/>
  <c r="G524" i="5"/>
  <c r="F524" i="5"/>
  <c r="E524" i="5"/>
  <c r="D524" i="5"/>
  <c r="C524" i="5"/>
  <c r="B524" i="5"/>
  <c r="A524" i="5"/>
  <c r="M523" i="5"/>
  <c r="L523" i="5"/>
  <c r="K523" i="5"/>
  <c r="J523" i="5"/>
  <c r="I523" i="5"/>
  <c r="H523" i="5"/>
  <c r="G523" i="5"/>
  <c r="F523" i="5"/>
  <c r="D523" i="5"/>
  <c r="C523" i="5"/>
  <c r="M522" i="5"/>
  <c r="L522" i="5"/>
  <c r="K522" i="5"/>
  <c r="J522" i="5"/>
  <c r="I522" i="5"/>
  <c r="H522" i="5"/>
  <c r="G522" i="5"/>
  <c r="F522" i="5"/>
  <c r="E522" i="5"/>
  <c r="D522" i="5"/>
  <c r="C522" i="5"/>
  <c r="B522" i="5"/>
  <c r="A522" i="5"/>
  <c r="M521" i="5"/>
  <c r="L521" i="5"/>
  <c r="K521" i="5"/>
  <c r="J521" i="5"/>
  <c r="I521" i="5"/>
  <c r="H521" i="5"/>
  <c r="G521" i="5"/>
  <c r="F521" i="5"/>
  <c r="D521" i="5"/>
  <c r="C521" i="5"/>
  <c r="M520" i="5"/>
  <c r="L520" i="5"/>
  <c r="K520" i="5"/>
  <c r="J520" i="5"/>
  <c r="I520" i="5"/>
  <c r="H520" i="5"/>
  <c r="G520" i="5"/>
  <c r="F520" i="5"/>
  <c r="E520" i="5"/>
  <c r="D520" i="5"/>
  <c r="C520" i="5"/>
  <c r="B520" i="5"/>
  <c r="A520" i="5"/>
  <c r="K519" i="5"/>
  <c r="J519" i="5"/>
  <c r="I519" i="5"/>
  <c r="G519" i="5"/>
  <c r="M518" i="5"/>
  <c r="L518" i="5"/>
  <c r="K518" i="5"/>
  <c r="J518" i="5"/>
  <c r="I518" i="5"/>
  <c r="H518" i="5"/>
  <c r="F518" i="5"/>
  <c r="E518" i="5"/>
  <c r="M517" i="5"/>
  <c r="L517" i="5"/>
  <c r="K517" i="5"/>
  <c r="J517" i="5"/>
  <c r="I517" i="5"/>
  <c r="H517" i="5"/>
  <c r="G517" i="5"/>
  <c r="F517" i="5"/>
  <c r="E517" i="5"/>
  <c r="D517" i="5"/>
  <c r="C517" i="5"/>
  <c r="B517" i="5"/>
  <c r="A517" i="5"/>
  <c r="C516" i="5"/>
  <c r="B515" i="5"/>
  <c r="M513" i="5"/>
  <c r="L513" i="5"/>
  <c r="K513" i="5"/>
  <c r="J513" i="5"/>
  <c r="I513" i="5"/>
  <c r="H513" i="5"/>
  <c r="G513" i="5"/>
  <c r="F513" i="5"/>
  <c r="D513" i="5"/>
  <c r="C513" i="5"/>
  <c r="M512" i="5"/>
  <c r="L512" i="5"/>
  <c r="K512" i="5"/>
  <c r="J512" i="5"/>
  <c r="I512" i="5"/>
  <c r="H512" i="5"/>
  <c r="G512" i="5"/>
  <c r="F512" i="5"/>
  <c r="E512" i="5"/>
  <c r="D512" i="5"/>
  <c r="C512" i="5"/>
  <c r="B512" i="5"/>
  <c r="A512" i="5"/>
  <c r="M511" i="5"/>
  <c r="L511" i="5"/>
  <c r="K511" i="5"/>
  <c r="J511" i="5"/>
  <c r="I511" i="5"/>
  <c r="H511" i="5"/>
  <c r="G511" i="5"/>
  <c r="F511" i="5"/>
  <c r="D511" i="5"/>
  <c r="C511" i="5"/>
  <c r="M510" i="5"/>
  <c r="L510" i="5"/>
  <c r="K510" i="5"/>
  <c r="J510" i="5"/>
  <c r="I510" i="5"/>
  <c r="H510" i="5"/>
  <c r="G510" i="5"/>
  <c r="F510" i="5"/>
  <c r="E510" i="5"/>
  <c r="D510" i="5"/>
  <c r="C510" i="5"/>
  <c r="B510" i="5"/>
  <c r="A510" i="5"/>
  <c r="M509" i="5"/>
  <c r="L509" i="5"/>
  <c r="K509" i="5"/>
  <c r="J509" i="5"/>
  <c r="I509" i="5"/>
  <c r="H509" i="5"/>
  <c r="G509" i="5"/>
  <c r="F509" i="5"/>
  <c r="D509" i="5"/>
  <c r="C509" i="5"/>
  <c r="M508" i="5"/>
  <c r="L508" i="5"/>
  <c r="K508" i="5"/>
  <c r="J508" i="5"/>
  <c r="I508" i="5"/>
  <c r="H508" i="5"/>
  <c r="G508" i="5"/>
  <c r="F508" i="5"/>
  <c r="E508" i="5"/>
  <c r="D508" i="5"/>
  <c r="C508" i="5"/>
  <c r="B508" i="5"/>
  <c r="A508" i="5"/>
  <c r="M507" i="5"/>
  <c r="L507" i="5"/>
  <c r="K507" i="5"/>
  <c r="J507" i="5"/>
  <c r="I507" i="5"/>
  <c r="H507" i="5"/>
  <c r="G507" i="5"/>
  <c r="F507" i="5"/>
  <c r="D507" i="5"/>
  <c r="C507" i="5"/>
  <c r="M506" i="5"/>
  <c r="L506" i="5"/>
  <c r="K506" i="5"/>
  <c r="J506" i="5"/>
  <c r="I506" i="5"/>
  <c r="H506" i="5"/>
  <c r="G506" i="5"/>
  <c r="F506" i="5"/>
  <c r="E506" i="5"/>
  <c r="D506" i="5"/>
  <c r="C506" i="5"/>
  <c r="B506" i="5"/>
  <c r="A506" i="5"/>
  <c r="K505" i="5"/>
  <c r="J505" i="5"/>
  <c r="I505" i="5"/>
  <c r="G505" i="5"/>
  <c r="M504" i="5"/>
  <c r="L504" i="5"/>
  <c r="K504" i="5"/>
  <c r="J504" i="5"/>
  <c r="I504" i="5"/>
  <c r="H504" i="5"/>
  <c r="F504" i="5"/>
  <c r="E504" i="5"/>
  <c r="M503" i="5"/>
  <c r="L503" i="5"/>
  <c r="K503" i="5"/>
  <c r="J503" i="5"/>
  <c r="I503" i="5"/>
  <c r="H503" i="5"/>
  <c r="G503" i="5"/>
  <c r="F503" i="5"/>
  <c r="E503" i="5"/>
  <c r="D503" i="5"/>
  <c r="C503" i="5"/>
  <c r="B503" i="5"/>
  <c r="A503" i="5"/>
  <c r="C502" i="5"/>
  <c r="B501" i="5"/>
  <c r="M499" i="5"/>
  <c r="L499" i="5"/>
  <c r="K499" i="5"/>
  <c r="J499" i="5"/>
  <c r="I499" i="5"/>
  <c r="H499" i="5"/>
  <c r="G499" i="5"/>
  <c r="F499" i="5"/>
  <c r="D499" i="5"/>
  <c r="C499" i="5"/>
  <c r="M498" i="5"/>
  <c r="L498" i="5"/>
  <c r="K498" i="5"/>
  <c r="J498" i="5"/>
  <c r="I498" i="5"/>
  <c r="H498" i="5"/>
  <c r="G498" i="5"/>
  <c r="F498" i="5"/>
  <c r="E498" i="5"/>
  <c r="D498" i="5"/>
  <c r="C498" i="5"/>
  <c r="B498" i="5"/>
  <c r="A498" i="5"/>
  <c r="M497" i="5"/>
  <c r="L497" i="5"/>
  <c r="K497" i="5"/>
  <c r="J497" i="5"/>
  <c r="I497" i="5"/>
  <c r="H497" i="5"/>
  <c r="G497" i="5"/>
  <c r="F497" i="5"/>
  <c r="D497" i="5"/>
  <c r="C497" i="5"/>
  <c r="M496" i="5"/>
  <c r="L496" i="5"/>
  <c r="K496" i="5"/>
  <c r="J496" i="5"/>
  <c r="I496" i="5"/>
  <c r="H496" i="5"/>
  <c r="G496" i="5"/>
  <c r="F496" i="5"/>
  <c r="E496" i="5"/>
  <c r="D496" i="5"/>
  <c r="C496" i="5"/>
  <c r="B496" i="5"/>
  <c r="A496" i="5"/>
  <c r="M495" i="5"/>
  <c r="L495" i="5"/>
  <c r="K495" i="5"/>
  <c r="J495" i="5"/>
  <c r="I495" i="5"/>
  <c r="H495" i="5"/>
  <c r="G495" i="5"/>
  <c r="F495" i="5"/>
  <c r="D495" i="5"/>
  <c r="C495" i="5"/>
  <c r="M494" i="5"/>
  <c r="L494" i="5"/>
  <c r="K494" i="5"/>
  <c r="J494" i="5"/>
  <c r="I494" i="5"/>
  <c r="H494" i="5"/>
  <c r="G494" i="5"/>
  <c r="F494" i="5"/>
  <c r="E494" i="5"/>
  <c r="D494" i="5"/>
  <c r="C494" i="5"/>
  <c r="B494" i="5"/>
  <c r="A494" i="5"/>
  <c r="M493" i="5"/>
  <c r="L493" i="5"/>
  <c r="K493" i="5"/>
  <c r="J493" i="5"/>
  <c r="I493" i="5"/>
  <c r="H493" i="5"/>
  <c r="G493" i="5"/>
  <c r="F493" i="5"/>
  <c r="D493" i="5"/>
  <c r="C493" i="5"/>
  <c r="M492" i="5"/>
  <c r="L492" i="5"/>
  <c r="K492" i="5"/>
  <c r="J492" i="5"/>
  <c r="I492" i="5"/>
  <c r="H492" i="5"/>
  <c r="G492" i="5"/>
  <c r="F492" i="5"/>
  <c r="E492" i="5"/>
  <c r="D492" i="5"/>
  <c r="C492" i="5"/>
  <c r="B492" i="5"/>
  <c r="A492" i="5"/>
  <c r="K491" i="5"/>
  <c r="J491" i="5"/>
  <c r="I491" i="5"/>
  <c r="G491" i="5"/>
  <c r="M490" i="5"/>
  <c r="L490" i="5"/>
  <c r="K490" i="5"/>
  <c r="J490" i="5"/>
  <c r="I490" i="5"/>
  <c r="H490" i="5"/>
  <c r="F490" i="5"/>
  <c r="E490" i="5"/>
  <c r="M489" i="5"/>
  <c r="L489" i="5"/>
  <c r="K489" i="5"/>
  <c r="J489" i="5"/>
  <c r="I489" i="5"/>
  <c r="H489" i="5"/>
  <c r="G489" i="5"/>
  <c r="F489" i="5"/>
  <c r="E489" i="5"/>
  <c r="D489" i="5"/>
  <c r="C489" i="5"/>
  <c r="B489" i="5"/>
  <c r="A489" i="5"/>
  <c r="C488" i="5"/>
  <c r="C487" i="5"/>
  <c r="B487" i="5"/>
  <c r="M485" i="5"/>
  <c r="L485" i="5"/>
  <c r="K485" i="5"/>
  <c r="J485" i="5"/>
  <c r="I485" i="5"/>
  <c r="H485" i="5"/>
  <c r="G485" i="5"/>
  <c r="F485" i="5"/>
  <c r="D485" i="5"/>
  <c r="C485" i="5"/>
  <c r="M484" i="5"/>
  <c r="L484" i="5"/>
  <c r="K484" i="5"/>
  <c r="J484" i="5"/>
  <c r="I484" i="5"/>
  <c r="H484" i="5"/>
  <c r="G484" i="5"/>
  <c r="F484" i="5"/>
  <c r="E484" i="5"/>
  <c r="D484" i="5"/>
  <c r="C484" i="5"/>
  <c r="B484" i="5"/>
  <c r="A484" i="5"/>
  <c r="M483" i="5"/>
  <c r="L483" i="5"/>
  <c r="K483" i="5"/>
  <c r="J483" i="5"/>
  <c r="I483" i="5"/>
  <c r="H483" i="5"/>
  <c r="G483" i="5"/>
  <c r="F483" i="5"/>
  <c r="D483" i="5"/>
  <c r="C483" i="5"/>
  <c r="M482" i="5"/>
  <c r="L482" i="5"/>
  <c r="K482" i="5"/>
  <c r="J482" i="5"/>
  <c r="I482" i="5"/>
  <c r="H482" i="5"/>
  <c r="G482" i="5"/>
  <c r="F482" i="5"/>
  <c r="E482" i="5"/>
  <c r="D482" i="5"/>
  <c r="C482" i="5"/>
  <c r="B482" i="5"/>
  <c r="A482" i="5"/>
  <c r="M481" i="5"/>
  <c r="L481" i="5"/>
  <c r="K481" i="5"/>
  <c r="J481" i="5"/>
  <c r="I481" i="5"/>
  <c r="H481" i="5"/>
  <c r="G481" i="5"/>
  <c r="F481" i="5"/>
  <c r="D481" i="5"/>
  <c r="C481" i="5"/>
  <c r="M480" i="5"/>
  <c r="L480" i="5"/>
  <c r="K480" i="5"/>
  <c r="J480" i="5"/>
  <c r="I480" i="5"/>
  <c r="H480" i="5"/>
  <c r="G480" i="5"/>
  <c r="F480" i="5"/>
  <c r="E480" i="5"/>
  <c r="D480" i="5"/>
  <c r="C480" i="5"/>
  <c r="B480" i="5"/>
  <c r="A480" i="5"/>
  <c r="M479" i="5"/>
  <c r="L479" i="5"/>
  <c r="K479" i="5"/>
  <c r="J479" i="5"/>
  <c r="I479" i="5"/>
  <c r="H479" i="5"/>
  <c r="G479" i="5"/>
  <c r="F479" i="5"/>
  <c r="D479" i="5"/>
  <c r="C479" i="5"/>
  <c r="M478" i="5"/>
  <c r="L478" i="5"/>
  <c r="K478" i="5"/>
  <c r="J478" i="5"/>
  <c r="I478" i="5"/>
  <c r="H478" i="5"/>
  <c r="G478" i="5"/>
  <c r="F478" i="5"/>
  <c r="E478" i="5"/>
  <c r="D478" i="5"/>
  <c r="C478" i="5"/>
  <c r="B478" i="5"/>
  <c r="A478" i="5"/>
  <c r="K477" i="5"/>
  <c r="J477" i="5"/>
  <c r="I477" i="5"/>
  <c r="G477" i="5"/>
  <c r="M476" i="5"/>
  <c r="L476" i="5"/>
  <c r="K476" i="5"/>
  <c r="J476" i="5"/>
  <c r="I476" i="5"/>
  <c r="H476" i="5"/>
  <c r="F476" i="5"/>
  <c r="E476" i="5"/>
  <c r="M475" i="5"/>
  <c r="L475" i="5"/>
  <c r="K475" i="5"/>
  <c r="J475" i="5"/>
  <c r="I475" i="5"/>
  <c r="H475" i="5"/>
  <c r="G475" i="5"/>
  <c r="F475" i="5"/>
  <c r="E475" i="5"/>
  <c r="D475" i="5"/>
  <c r="C475" i="5"/>
  <c r="B475" i="5"/>
  <c r="A475" i="5"/>
  <c r="C474" i="5"/>
  <c r="C473" i="5"/>
  <c r="B473" i="5"/>
  <c r="M471" i="5"/>
  <c r="L471" i="5"/>
  <c r="K471" i="5"/>
  <c r="J471" i="5"/>
  <c r="I471" i="5"/>
  <c r="H471" i="5"/>
  <c r="G471" i="5"/>
  <c r="F471" i="5"/>
  <c r="D471" i="5"/>
  <c r="C471" i="5"/>
  <c r="M470" i="5"/>
  <c r="L470" i="5"/>
  <c r="K470" i="5"/>
  <c r="J470" i="5"/>
  <c r="I470" i="5"/>
  <c r="H470" i="5"/>
  <c r="G470" i="5"/>
  <c r="F470" i="5"/>
  <c r="E470" i="5"/>
  <c r="D470" i="5"/>
  <c r="C470" i="5"/>
  <c r="B470" i="5"/>
  <c r="A470" i="5"/>
  <c r="M469" i="5"/>
  <c r="L469" i="5"/>
  <c r="K469" i="5"/>
  <c r="J469" i="5"/>
  <c r="I469" i="5"/>
  <c r="H469" i="5"/>
  <c r="G469" i="5"/>
  <c r="F469" i="5"/>
  <c r="D469" i="5"/>
  <c r="C469" i="5"/>
  <c r="M468" i="5"/>
  <c r="L468" i="5"/>
  <c r="K468" i="5"/>
  <c r="J468" i="5"/>
  <c r="I468" i="5"/>
  <c r="H468" i="5"/>
  <c r="G468" i="5"/>
  <c r="F468" i="5"/>
  <c r="E468" i="5"/>
  <c r="D468" i="5"/>
  <c r="C468" i="5"/>
  <c r="B468" i="5"/>
  <c r="A468" i="5"/>
  <c r="K467" i="5"/>
  <c r="J467" i="5"/>
  <c r="I467" i="5"/>
  <c r="G467" i="5"/>
  <c r="M466" i="5"/>
  <c r="L466" i="5"/>
  <c r="K466" i="5"/>
  <c r="J466" i="5"/>
  <c r="I466" i="5"/>
  <c r="H466" i="5"/>
  <c r="F466" i="5"/>
  <c r="E466" i="5"/>
  <c r="M465" i="5"/>
  <c r="L465" i="5"/>
  <c r="K465" i="5"/>
  <c r="J465" i="5"/>
  <c r="I465" i="5"/>
  <c r="H465" i="5"/>
  <c r="G465" i="5"/>
  <c r="F465" i="5"/>
  <c r="E465" i="5"/>
  <c r="D465" i="5"/>
  <c r="C465" i="5"/>
  <c r="B465" i="5"/>
  <c r="A465" i="5"/>
  <c r="C464" i="5"/>
  <c r="B463" i="5"/>
  <c r="M461" i="5"/>
  <c r="L461" i="5"/>
  <c r="K461" i="5"/>
  <c r="J461" i="5"/>
  <c r="I461" i="5"/>
  <c r="H461" i="5"/>
  <c r="G461" i="5"/>
  <c r="F461" i="5"/>
  <c r="E461" i="5"/>
  <c r="D461" i="5"/>
  <c r="C461" i="5"/>
  <c r="B461" i="5"/>
  <c r="A461" i="5"/>
  <c r="M460" i="5"/>
  <c r="L460" i="5"/>
  <c r="K460" i="5"/>
  <c r="J460" i="5"/>
  <c r="I460" i="5"/>
  <c r="H460" i="5"/>
  <c r="G460" i="5"/>
  <c r="F460" i="5"/>
  <c r="D460" i="5"/>
  <c r="C460" i="5"/>
  <c r="M459" i="5"/>
  <c r="L459" i="5"/>
  <c r="K459" i="5"/>
  <c r="J459" i="5"/>
  <c r="I459" i="5"/>
  <c r="H459" i="5"/>
  <c r="G459" i="5"/>
  <c r="F459" i="5"/>
  <c r="E459" i="5"/>
  <c r="D459" i="5"/>
  <c r="C459" i="5"/>
  <c r="B459" i="5"/>
  <c r="A459" i="5"/>
  <c r="M458" i="5"/>
  <c r="L458" i="5"/>
  <c r="K458" i="5"/>
  <c r="J458" i="5"/>
  <c r="I458" i="5"/>
  <c r="H458" i="5"/>
  <c r="G458" i="5"/>
  <c r="F458" i="5"/>
  <c r="D458" i="5"/>
  <c r="C458" i="5"/>
  <c r="M457" i="5"/>
  <c r="L457" i="5"/>
  <c r="K457" i="5"/>
  <c r="J457" i="5"/>
  <c r="I457" i="5"/>
  <c r="H457" i="5"/>
  <c r="G457" i="5"/>
  <c r="F457" i="5"/>
  <c r="E457" i="5"/>
  <c r="D457" i="5"/>
  <c r="C457" i="5"/>
  <c r="B457" i="5"/>
  <c r="A457" i="5"/>
  <c r="M456" i="5"/>
  <c r="L456" i="5"/>
  <c r="K456" i="5"/>
  <c r="J456" i="5"/>
  <c r="I456" i="5"/>
  <c r="H456" i="5"/>
  <c r="G456" i="5"/>
  <c r="F456" i="5"/>
  <c r="D456" i="5"/>
  <c r="C456" i="5"/>
  <c r="M455" i="5"/>
  <c r="L455" i="5"/>
  <c r="K455" i="5"/>
  <c r="J455" i="5"/>
  <c r="I455" i="5"/>
  <c r="H455" i="5"/>
  <c r="G455" i="5"/>
  <c r="F455" i="5"/>
  <c r="E455" i="5"/>
  <c r="D455" i="5"/>
  <c r="C455" i="5"/>
  <c r="B455" i="5"/>
  <c r="A455" i="5"/>
  <c r="M454" i="5"/>
  <c r="L454" i="5"/>
  <c r="K454" i="5"/>
  <c r="J454" i="5"/>
  <c r="I454" i="5"/>
  <c r="H454" i="5"/>
  <c r="G454" i="5"/>
  <c r="F454" i="5"/>
  <c r="D454" i="5"/>
  <c r="C454" i="5"/>
  <c r="M453" i="5"/>
  <c r="L453" i="5"/>
  <c r="K453" i="5"/>
  <c r="J453" i="5"/>
  <c r="I453" i="5"/>
  <c r="H453" i="5"/>
  <c r="G453" i="5"/>
  <c r="F453" i="5"/>
  <c r="E453" i="5"/>
  <c r="D453" i="5"/>
  <c r="C453" i="5"/>
  <c r="B453" i="5"/>
  <c r="A453" i="5"/>
  <c r="M452" i="5"/>
  <c r="L452" i="5"/>
  <c r="K452" i="5"/>
  <c r="J452" i="5"/>
  <c r="I452" i="5"/>
  <c r="H452" i="5"/>
  <c r="G452" i="5"/>
  <c r="F452" i="5"/>
  <c r="D452" i="5"/>
  <c r="C452" i="5"/>
  <c r="M451" i="5"/>
  <c r="L451" i="5"/>
  <c r="K451" i="5"/>
  <c r="J451" i="5"/>
  <c r="I451" i="5"/>
  <c r="H451" i="5"/>
  <c r="G451" i="5"/>
  <c r="F451" i="5"/>
  <c r="E451" i="5"/>
  <c r="D451" i="5"/>
  <c r="C451" i="5"/>
  <c r="B451" i="5"/>
  <c r="A451" i="5"/>
  <c r="K450" i="5"/>
  <c r="J450" i="5"/>
  <c r="I450" i="5"/>
  <c r="G450" i="5"/>
  <c r="M449" i="5"/>
  <c r="L449" i="5"/>
  <c r="K449" i="5"/>
  <c r="J449" i="5"/>
  <c r="I449" i="5"/>
  <c r="H449" i="5"/>
  <c r="F449" i="5"/>
  <c r="E449" i="5"/>
  <c r="M448" i="5"/>
  <c r="L448" i="5"/>
  <c r="K448" i="5"/>
  <c r="J448" i="5"/>
  <c r="I448" i="5"/>
  <c r="H448" i="5"/>
  <c r="G448" i="5"/>
  <c r="F448" i="5"/>
  <c r="E448" i="5"/>
  <c r="D448" i="5"/>
  <c r="C448" i="5"/>
  <c r="B448" i="5"/>
  <c r="A448" i="5"/>
  <c r="C447" i="5"/>
  <c r="C446" i="5"/>
  <c r="B446" i="5"/>
  <c r="M444" i="5"/>
  <c r="L444" i="5"/>
  <c r="K444" i="5"/>
  <c r="J444" i="5"/>
  <c r="I444" i="5"/>
  <c r="H444" i="5"/>
  <c r="G444" i="5"/>
  <c r="F444" i="5"/>
  <c r="D444" i="5"/>
  <c r="C444" i="5"/>
  <c r="M443" i="5"/>
  <c r="L443" i="5"/>
  <c r="K443" i="5"/>
  <c r="J443" i="5"/>
  <c r="I443" i="5"/>
  <c r="H443" i="5"/>
  <c r="G443" i="5"/>
  <c r="F443" i="5"/>
  <c r="E443" i="5"/>
  <c r="D443" i="5"/>
  <c r="C443" i="5"/>
  <c r="B443" i="5"/>
  <c r="A443" i="5"/>
  <c r="M442" i="5"/>
  <c r="L442" i="5"/>
  <c r="K442" i="5"/>
  <c r="J442" i="5"/>
  <c r="I442" i="5"/>
  <c r="H442" i="5"/>
  <c r="G442" i="5"/>
  <c r="F442" i="5"/>
  <c r="D442" i="5"/>
  <c r="C442" i="5"/>
  <c r="M441" i="5"/>
  <c r="L441" i="5"/>
  <c r="K441" i="5"/>
  <c r="J441" i="5"/>
  <c r="I441" i="5"/>
  <c r="H441" i="5"/>
  <c r="G441" i="5"/>
  <c r="F441" i="5"/>
  <c r="E441" i="5"/>
  <c r="D441" i="5"/>
  <c r="C441" i="5"/>
  <c r="B441" i="5"/>
  <c r="A441" i="5"/>
  <c r="M440" i="5"/>
  <c r="L440" i="5"/>
  <c r="K440" i="5"/>
  <c r="J440" i="5"/>
  <c r="I440" i="5"/>
  <c r="H440" i="5"/>
  <c r="G440" i="5"/>
  <c r="F440" i="5"/>
  <c r="D440" i="5"/>
  <c r="C440" i="5"/>
  <c r="M439" i="5"/>
  <c r="L439" i="5"/>
  <c r="K439" i="5"/>
  <c r="J439" i="5"/>
  <c r="I439" i="5"/>
  <c r="H439" i="5"/>
  <c r="G439" i="5"/>
  <c r="F439" i="5"/>
  <c r="E439" i="5"/>
  <c r="D439" i="5"/>
  <c r="C439" i="5"/>
  <c r="B439" i="5"/>
  <c r="A439" i="5"/>
  <c r="M438" i="5"/>
  <c r="L438" i="5"/>
  <c r="K438" i="5"/>
  <c r="J438" i="5"/>
  <c r="I438" i="5"/>
  <c r="H438" i="5"/>
  <c r="G438" i="5"/>
  <c r="F438" i="5"/>
  <c r="D438" i="5"/>
  <c r="C438" i="5"/>
  <c r="M437" i="5"/>
  <c r="L437" i="5"/>
  <c r="K437" i="5"/>
  <c r="J437" i="5"/>
  <c r="I437" i="5"/>
  <c r="H437" i="5"/>
  <c r="G437" i="5"/>
  <c r="F437" i="5"/>
  <c r="E437" i="5"/>
  <c r="D437" i="5"/>
  <c r="C437" i="5"/>
  <c r="B437" i="5"/>
  <c r="A437" i="5"/>
  <c r="K436" i="5"/>
  <c r="J436" i="5"/>
  <c r="I436" i="5"/>
  <c r="G436" i="5"/>
  <c r="M435" i="5"/>
  <c r="L435" i="5"/>
  <c r="K435" i="5"/>
  <c r="J435" i="5"/>
  <c r="I435" i="5"/>
  <c r="H435" i="5"/>
  <c r="F435" i="5"/>
  <c r="E435" i="5"/>
  <c r="M434" i="5"/>
  <c r="L434" i="5"/>
  <c r="K434" i="5"/>
  <c r="J434" i="5"/>
  <c r="I434" i="5"/>
  <c r="H434" i="5"/>
  <c r="G434" i="5"/>
  <c r="F434" i="5"/>
  <c r="E434" i="5"/>
  <c r="D434" i="5"/>
  <c r="C434" i="5"/>
  <c r="B434" i="5"/>
  <c r="A434" i="5"/>
  <c r="C433" i="5"/>
  <c r="C432" i="5"/>
  <c r="B432" i="5"/>
  <c r="M430" i="5"/>
  <c r="L430" i="5"/>
  <c r="K430" i="5"/>
  <c r="J430" i="5"/>
  <c r="I430" i="5"/>
  <c r="H430" i="5"/>
  <c r="G430" i="5"/>
  <c r="F430" i="5"/>
  <c r="E430" i="5"/>
  <c r="D430" i="5"/>
  <c r="C430" i="5"/>
  <c r="B430" i="5"/>
  <c r="A430" i="5"/>
  <c r="M429" i="5"/>
  <c r="L429" i="5"/>
  <c r="K429" i="5"/>
  <c r="J429" i="5"/>
  <c r="I429" i="5"/>
  <c r="H429" i="5"/>
  <c r="G429" i="5"/>
  <c r="F429" i="5"/>
  <c r="D429" i="5"/>
  <c r="C429" i="5"/>
  <c r="M428" i="5"/>
  <c r="L428" i="5"/>
  <c r="K428" i="5"/>
  <c r="J428" i="5"/>
  <c r="I428" i="5"/>
  <c r="H428" i="5"/>
  <c r="G428" i="5"/>
  <c r="F428" i="5"/>
  <c r="E428" i="5"/>
  <c r="D428" i="5"/>
  <c r="C428" i="5"/>
  <c r="B428" i="5"/>
  <c r="A428" i="5"/>
  <c r="M427" i="5"/>
  <c r="L427" i="5"/>
  <c r="K427" i="5"/>
  <c r="J427" i="5"/>
  <c r="I427" i="5"/>
  <c r="H427" i="5"/>
  <c r="G427" i="5"/>
  <c r="F427" i="5"/>
  <c r="D427" i="5"/>
  <c r="C427" i="5"/>
  <c r="M426" i="5"/>
  <c r="L426" i="5"/>
  <c r="K426" i="5"/>
  <c r="J426" i="5"/>
  <c r="I426" i="5"/>
  <c r="H426" i="5"/>
  <c r="G426" i="5"/>
  <c r="F426" i="5"/>
  <c r="E426" i="5"/>
  <c r="D426" i="5"/>
  <c r="C426" i="5"/>
  <c r="B426" i="5"/>
  <c r="A426" i="5"/>
  <c r="M425" i="5"/>
  <c r="L425" i="5"/>
  <c r="K425" i="5"/>
  <c r="J425" i="5"/>
  <c r="I425" i="5"/>
  <c r="H425" i="5"/>
  <c r="G425" i="5"/>
  <c r="F425" i="5"/>
  <c r="D425" i="5"/>
  <c r="C425" i="5"/>
  <c r="M424" i="5"/>
  <c r="L424" i="5"/>
  <c r="K424" i="5"/>
  <c r="J424" i="5"/>
  <c r="I424" i="5"/>
  <c r="H424" i="5"/>
  <c r="G424" i="5"/>
  <c r="F424" i="5"/>
  <c r="E424" i="5"/>
  <c r="D424" i="5"/>
  <c r="C424" i="5"/>
  <c r="B424" i="5"/>
  <c r="A424" i="5"/>
  <c r="K423" i="5"/>
  <c r="J423" i="5"/>
  <c r="I423" i="5"/>
  <c r="G423" i="5"/>
  <c r="M422" i="5"/>
  <c r="L422" i="5"/>
  <c r="K422" i="5"/>
  <c r="J422" i="5"/>
  <c r="I422" i="5"/>
  <c r="H422" i="5"/>
  <c r="F422" i="5"/>
  <c r="E422" i="5"/>
  <c r="M421" i="5"/>
  <c r="L421" i="5"/>
  <c r="K421" i="5"/>
  <c r="J421" i="5"/>
  <c r="I421" i="5"/>
  <c r="H421" i="5"/>
  <c r="G421" i="5"/>
  <c r="F421" i="5"/>
  <c r="E421" i="5"/>
  <c r="D421" i="5"/>
  <c r="C421" i="5"/>
  <c r="B421" i="5"/>
  <c r="A421" i="5"/>
  <c r="C420" i="5"/>
  <c r="C419" i="5"/>
  <c r="B419" i="5"/>
  <c r="M417" i="5"/>
  <c r="L417" i="5"/>
  <c r="K417" i="5"/>
  <c r="J417" i="5"/>
  <c r="I417" i="5"/>
  <c r="H417" i="5"/>
  <c r="G417" i="5"/>
  <c r="F417" i="5"/>
  <c r="D417" i="5"/>
  <c r="C417" i="5"/>
  <c r="M416" i="5"/>
  <c r="L416" i="5"/>
  <c r="K416" i="5"/>
  <c r="J416" i="5"/>
  <c r="I416" i="5"/>
  <c r="H416" i="5"/>
  <c r="G416" i="5"/>
  <c r="F416" i="5"/>
  <c r="E416" i="5"/>
  <c r="D416" i="5"/>
  <c r="C416" i="5"/>
  <c r="B416" i="5"/>
  <c r="A416" i="5"/>
  <c r="M415" i="5"/>
  <c r="L415" i="5"/>
  <c r="K415" i="5"/>
  <c r="J415" i="5"/>
  <c r="I415" i="5"/>
  <c r="H415" i="5"/>
  <c r="G415" i="5"/>
  <c r="F415" i="5"/>
  <c r="D415" i="5"/>
  <c r="C415" i="5"/>
  <c r="M414" i="5"/>
  <c r="L414" i="5"/>
  <c r="K414" i="5"/>
  <c r="J414" i="5"/>
  <c r="I414" i="5"/>
  <c r="H414" i="5"/>
  <c r="G414" i="5"/>
  <c r="F414" i="5"/>
  <c r="E414" i="5"/>
  <c r="D414" i="5"/>
  <c r="C414" i="5"/>
  <c r="B414" i="5"/>
  <c r="A414" i="5"/>
  <c r="M413" i="5"/>
  <c r="L413" i="5"/>
  <c r="K413" i="5"/>
  <c r="J413" i="5"/>
  <c r="I413" i="5"/>
  <c r="H413" i="5"/>
  <c r="G413" i="5"/>
  <c r="F413" i="5"/>
  <c r="D413" i="5"/>
  <c r="C413" i="5"/>
  <c r="M412" i="5"/>
  <c r="L412" i="5"/>
  <c r="K412" i="5"/>
  <c r="J412" i="5"/>
  <c r="I412" i="5"/>
  <c r="H412" i="5"/>
  <c r="G412" i="5"/>
  <c r="F412" i="5"/>
  <c r="E412" i="5"/>
  <c r="D412" i="5"/>
  <c r="C412" i="5"/>
  <c r="B412" i="5"/>
  <c r="A412" i="5"/>
  <c r="M411" i="5"/>
  <c r="L411" i="5"/>
  <c r="K411" i="5"/>
  <c r="J411" i="5"/>
  <c r="I411" i="5"/>
  <c r="H411" i="5"/>
  <c r="G411" i="5"/>
  <c r="F411" i="5"/>
  <c r="D411" i="5"/>
  <c r="C411" i="5"/>
  <c r="M410" i="5"/>
  <c r="L410" i="5"/>
  <c r="K410" i="5"/>
  <c r="J410" i="5"/>
  <c r="I410" i="5"/>
  <c r="H410" i="5"/>
  <c r="G410" i="5"/>
  <c r="F410" i="5"/>
  <c r="E410" i="5"/>
  <c r="D410" i="5"/>
  <c r="C410" i="5"/>
  <c r="B410" i="5"/>
  <c r="A410" i="5"/>
  <c r="M409" i="5"/>
  <c r="L409" i="5"/>
  <c r="K409" i="5"/>
  <c r="J409" i="5"/>
  <c r="I409" i="5"/>
  <c r="H409" i="5"/>
  <c r="G409" i="5"/>
  <c r="F409" i="5"/>
  <c r="D409" i="5"/>
  <c r="C409" i="5"/>
  <c r="M408" i="5"/>
  <c r="L408" i="5"/>
  <c r="K408" i="5"/>
  <c r="J408" i="5"/>
  <c r="I408" i="5"/>
  <c r="H408" i="5"/>
  <c r="G408" i="5"/>
  <c r="F408" i="5"/>
  <c r="E408" i="5"/>
  <c r="D408" i="5"/>
  <c r="C408" i="5"/>
  <c r="B408" i="5"/>
  <c r="A408" i="5"/>
  <c r="K407" i="5"/>
  <c r="J407" i="5"/>
  <c r="I407" i="5"/>
  <c r="G407" i="5"/>
  <c r="M406" i="5"/>
  <c r="L406" i="5"/>
  <c r="K406" i="5"/>
  <c r="J406" i="5"/>
  <c r="I406" i="5"/>
  <c r="H406" i="5"/>
  <c r="F406" i="5"/>
  <c r="E406" i="5"/>
  <c r="M405" i="5"/>
  <c r="L405" i="5"/>
  <c r="K405" i="5"/>
  <c r="J405" i="5"/>
  <c r="I405" i="5"/>
  <c r="H405" i="5"/>
  <c r="G405" i="5"/>
  <c r="F405" i="5"/>
  <c r="E405" i="5"/>
  <c r="D405" i="5"/>
  <c r="C405" i="5"/>
  <c r="B405" i="5"/>
  <c r="A405" i="5"/>
  <c r="C404" i="5"/>
  <c r="B403" i="5"/>
  <c r="M401" i="5"/>
  <c r="L401" i="5"/>
  <c r="K401" i="5"/>
  <c r="J401" i="5"/>
  <c r="I401" i="5"/>
  <c r="H401" i="5"/>
  <c r="G401" i="5"/>
  <c r="F401" i="5"/>
  <c r="E401" i="5"/>
  <c r="D401" i="5"/>
  <c r="C401" i="5"/>
  <c r="B401" i="5"/>
  <c r="A401" i="5"/>
  <c r="M400" i="5"/>
  <c r="L400" i="5"/>
  <c r="K400" i="5"/>
  <c r="J400" i="5"/>
  <c r="I400" i="5"/>
  <c r="H400" i="5"/>
  <c r="G400" i="5"/>
  <c r="F400" i="5"/>
  <c r="D400" i="5"/>
  <c r="C400" i="5"/>
  <c r="M399" i="5"/>
  <c r="L399" i="5"/>
  <c r="K399" i="5"/>
  <c r="J399" i="5"/>
  <c r="I399" i="5"/>
  <c r="H399" i="5"/>
  <c r="G399" i="5"/>
  <c r="F399" i="5"/>
  <c r="E399" i="5"/>
  <c r="D399" i="5"/>
  <c r="C399" i="5"/>
  <c r="B399" i="5"/>
  <c r="A399" i="5"/>
  <c r="M398" i="5"/>
  <c r="L398" i="5"/>
  <c r="K398" i="5"/>
  <c r="J398" i="5"/>
  <c r="I398" i="5"/>
  <c r="H398" i="5"/>
  <c r="G398" i="5"/>
  <c r="F398" i="5"/>
  <c r="D398" i="5"/>
  <c r="C398" i="5"/>
  <c r="M397" i="5"/>
  <c r="L397" i="5"/>
  <c r="K397" i="5"/>
  <c r="J397" i="5"/>
  <c r="I397" i="5"/>
  <c r="H397" i="5"/>
  <c r="G397" i="5"/>
  <c r="F397" i="5"/>
  <c r="E397" i="5"/>
  <c r="D397" i="5"/>
  <c r="C397" i="5"/>
  <c r="B397" i="5"/>
  <c r="A397" i="5"/>
  <c r="M396" i="5"/>
  <c r="L396" i="5"/>
  <c r="K396" i="5"/>
  <c r="J396" i="5"/>
  <c r="I396" i="5"/>
  <c r="H396" i="5"/>
  <c r="G396" i="5"/>
  <c r="F396" i="5"/>
  <c r="D396" i="5"/>
  <c r="C396" i="5"/>
  <c r="M395" i="5"/>
  <c r="L395" i="5"/>
  <c r="K395" i="5"/>
  <c r="J395" i="5"/>
  <c r="I395" i="5"/>
  <c r="H395" i="5"/>
  <c r="G395" i="5"/>
  <c r="F395" i="5"/>
  <c r="E395" i="5"/>
  <c r="D395" i="5"/>
  <c r="C395" i="5"/>
  <c r="B395" i="5"/>
  <c r="A395" i="5"/>
  <c r="M394" i="5"/>
  <c r="L394" i="5"/>
  <c r="K394" i="5"/>
  <c r="J394" i="5"/>
  <c r="I394" i="5"/>
  <c r="H394" i="5"/>
  <c r="G394" i="5"/>
  <c r="F394" i="5"/>
  <c r="D394" i="5"/>
  <c r="C394" i="5"/>
  <c r="M393" i="5"/>
  <c r="L393" i="5"/>
  <c r="K393" i="5"/>
  <c r="J393" i="5"/>
  <c r="I393" i="5"/>
  <c r="H393" i="5"/>
  <c r="G393" i="5"/>
  <c r="F393" i="5"/>
  <c r="E393" i="5"/>
  <c r="D393" i="5"/>
  <c r="C393" i="5"/>
  <c r="B393" i="5"/>
  <c r="A393" i="5"/>
  <c r="K392" i="5"/>
  <c r="J392" i="5"/>
  <c r="I392" i="5"/>
  <c r="G392" i="5"/>
  <c r="M391" i="5"/>
  <c r="L391" i="5"/>
  <c r="K391" i="5"/>
  <c r="J391" i="5"/>
  <c r="I391" i="5"/>
  <c r="H391" i="5"/>
  <c r="F391" i="5"/>
  <c r="E391" i="5"/>
  <c r="M390" i="5"/>
  <c r="L390" i="5"/>
  <c r="K390" i="5"/>
  <c r="J390" i="5"/>
  <c r="I390" i="5"/>
  <c r="H390" i="5"/>
  <c r="G390" i="5"/>
  <c r="F390" i="5"/>
  <c r="E390" i="5"/>
  <c r="D390" i="5"/>
  <c r="C390" i="5"/>
  <c r="B390" i="5"/>
  <c r="A390" i="5"/>
  <c r="C389" i="5"/>
  <c r="B388" i="5"/>
  <c r="M386" i="5"/>
  <c r="L386" i="5"/>
  <c r="K386" i="5"/>
  <c r="J386" i="5"/>
  <c r="I386" i="5"/>
  <c r="H386" i="5"/>
  <c r="G386" i="5"/>
  <c r="F386" i="5"/>
  <c r="D386" i="5"/>
  <c r="C386" i="5"/>
  <c r="M385" i="5"/>
  <c r="L385" i="5"/>
  <c r="K385" i="5"/>
  <c r="J385" i="5"/>
  <c r="I385" i="5"/>
  <c r="H385" i="5"/>
  <c r="G385" i="5"/>
  <c r="F385" i="5"/>
  <c r="E385" i="5"/>
  <c r="D385" i="5"/>
  <c r="C385" i="5"/>
  <c r="B385" i="5"/>
  <c r="A385" i="5"/>
  <c r="M384" i="5"/>
  <c r="L384" i="5"/>
  <c r="K384" i="5"/>
  <c r="J384" i="5"/>
  <c r="I384" i="5"/>
  <c r="H384" i="5"/>
  <c r="G384" i="5"/>
  <c r="F384" i="5"/>
  <c r="D384" i="5"/>
  <c r="C384" i="5"/>
  <c r="M383" i="5"/>
  <c r="L383" i="5"/>
  <c r="K383" i="5"/>
  <c r="J383" i="5"/>
  <c r="I383" i="5"/>
  <c r="H383" i="5"/>
  <c r="G383" i="5"/>
  <c r="F383" i="5"/>
  <c r="E383" i="5"/>
  <c r="D383" i="5"/>
  <c r="C383" i="5"/>
  <c r="B383" i="5"/>
  <c r="A383" i="5"/>
  <c r="K382" i="5"/>
  <c r="J382" i="5"/>
  <c r="I382" i="5"/>
  <c r="G382" i="5"/>
  <c r="M381" i="5"/>
  <c r="L381" i="5"/>
  <c r="K381" i="5"/>
  <c r="J381" i="5"/>
  <c r="I381" i="5"/>
  <c r="H381" i="5"/>
  <c r="F381" i="5"/>
  <c r="E381" i="5"/>
  <c r="M380" i="5"/>
  <c r="L380" i="5"/>
  <c r="K380" i="5"/>
  <c r="J380" i="5"/>
  <c r="I380" i="5"/>
  <c r="H380" i="5"/>
  <c r="G380" i="5"/>
  <c r="F380" i="5"/>
  <c r="E380" i="5"/>
  <c r="D380" i="5"/>
  <c r="C380" i="5"/>
  <c r="B380" i="5"/>
  <c r="A380" i="5"/>
  <c r="C379" i="5"/>
  <c r="C378" i="5"/>
  <c r="B378" i="5"/>
  <c r="M376" i="5"/>
  <c r="L376" i="5"/>
  <c r="K376" i="5"/>
  <c r="J376" i="5"/>
  <c r="I376" i="5"/>
  <c r="H376" i="5"/>
  <c r="G376" i="5"/>
  <c r="F376" i="5"/>
  <c r="D376" i="5"/>
  <c r="C376" i="5"/>
  <c r="M375" i="5"/>
  <c r="L375" i="5"/>
  <c r="K375" i="5"/>
  <c r="J375" i="5"/>
  <c r="I375" i="5"/>
  <c r="H375" i="5"/>
  <c r="G375" i="5"/>
  <c r="F375" i="5"/>
  <c r="E375" i="5"/>
  <c r="D375" i="5"/>
  <c r="C375" i="5"/>
  <c r="B375" i="5"/>
  <c r="A375" i="5"/>
  <c r="M374" i="5"/>
  <c r="L374" i="5"/>
  <c r="K374" i="5"/>
  <c r="J374" i="5"/>
  <c r="I374" i="5"/>
  <c r="H374" i="5"/>
  <c r="G374" i="5"/>
  <c r="F374" i="5"/>
  <c r="D374" i="5"/>
  <c r="C374" i="5"/>
  <c r="M373" i="5"/>
  <c r="L373" i="5"/>
  <c r="K373" i="5"/>
  <c r="J373" i="5"/>
  <c r="I373" i="5"/>
  <c r="H373" i="5"/>
  <c r="G373" i="5"/>
  <c r="F373" i="5"/>
  <c r="E373" i="5"/>
  <c r="D373" i="5"/>
  <c r="C373" i="5"/>
  <c r="B373" i="5"/>
  <c r="A373" i="5"/>
  <c r="M372" i="5"/>
  <c r="L372" i="5"/>
  <c r="K372" i="5"/>
  <c r="J372" i="5"/>
  <c r="I372" i="5"/>
  <c r="H372" i="5"/>
  <c r="G372" i="5"/>
  <c r="F372" i="5"/>
  <c r="D372" i="5"/>
  <c r="C372" i="5"/>
  <c r="M371" i="5"/>
  <c r="L371" i="5"/>
  <c r="K371" i="5"/>
  <c r="J371" i="5"/>
  <c r="I371" i="5"/>
  <c r="H371" i="5"/>
  <c r="G371" i="5"/>
  <c r="F371" i="5"/>
  <c r="E371" i="5"/>
  <c r="D371" i="5"/>
  <c r="C371" i="5"/>
  <c r="B371" i="5"/>
  <c r="A371" i="5"/>
  <c r="K370" i="5"/>
  <c r="J370" i="5"/>
  <c r="I370" i="5"/>
  <c r="G370" i="5"/>
  <c r="M369" i="5"/>
  <c r="L369" i="5"/>
  <c r="K369" i="5"/>
  <c r="J369" i="5"/>
  <c r="I369" i="5"/>
  <c r="H369" i="5"/>
  <c r="F369" i="5"/>
  <c r="E369" i="5"/>
  <c r="M368" i="5"/>
  <c r="L368" i="5"/>
  <c r="K368" i="5"/>
  <c r="J368" i="5"/>
  <c r="I368" i="5"/>
  <c r="H368" i="5"/>
  <c r="G368" i="5"/>
  <c r="F368" i="5"/>
  <c r="E368" i="5"/>
  <c r="D368" i="5"/>
  <c r="C368" i="5"/>
  <c r="B368" i="5"/>
  <c r="A368" i="5"/>
  <c r="C367" i="5"/>
  <c r="B366" i="5"/>
  <c r="M364" i="5"/>
  <c r="L364" i="5"/>
  <c r="K364" i="5"/>
  <c r="J364" i="5"/>
  <c r="I364" i="5"/>
  <c r="H364" i="5"/>
  <c r="G364" i="5"/>
  <c r="F364" i="5"/>
  <c r="D364" i="5"/>
  <c r="C364" i="5"/>
  <c r="M363" i="5"/>
  <c r="L363" i="5"/>
  <c r="K363" i="5"/>
  <c r="J363" i="5"/>
  <c r="I363" i="5"/>
  <c r="H363" i="5"/>
  <c r="G363" i="5"/>
  <c r="F363" i="5"/>
  <c r="E363" i="5"/>
  <c r="D363" i="5"/>
  <c r="C363" i="5"/>
  <c r="B363" i="5"/>
  <c r="A363" i="5"/>
  <c r="M362" i="5"/>
  <c r="L362" i="5"/>
  <c r="K362" i="5"/>
  <c r="J362" i="5"/>
  <c r="I362" i="5"/>
  <c r="H362" i="5"/>
  <c r="G362" i="5"/>
  <c r="F362" i="5"/>
  <c r="D362" i="5"/>
  <c r="C362" i="5"/>
  <c r="M361" i="5"/>
  <c r="L361" i="5"/>
  <c r="K361" i="5"/>
  <c r="J361" i="5"/>
  <c r="I361" i="5"/>
  <c r="H361" i="5"/>
  <c r="G361" i="5"/>
  <c r="F361" i="5"/>
  <c r="E361" i="5"/>
  <c r="D361" i="5"/>
  <c r="C361" i="5"/>
  <c r="B361" i="5"/>
  <c r="A361" i="5"/>
  <c r="M360" i="5"/>
  <c r="L360" i="5"/>
  <c r="K360" i="5"/>
  <c r="J360" i="5"/>
  <c r="I360" i="5"/>
  <c r="H360" i="5"/>
  <c r="G360" i="5"/>
  <c r="F360" i="5"/>
  <c r="D360" i="5"/>
  <c r="C360" i="5"/>
  <c r="M359" i="5"/>
  <c r="L359" i="5"/>
  <c r="K359" i="5"/>
  <c r="J359" i="5"/>
  <c r="I359" i="5"/>
  <c r="H359" i="5"/>
  <c r="G359" i="5"/>
  <c r="F359" i="5"/>
  <c r="E359" i="5"/>
  <c r="D359" i="5"/>
  <c r="C359" i="5"/>
  <c r="B359" i="5"/>
  <c r="A359" i="5"/>
  <c r="M358" i="5"/>
  <c r="L358" i="5"/>
  <c r="K358" i="5"/>
  <c r="J358" i="5"/>
  <c r="I358" i="5"/>
  <c r="H358" i="5"/>
  <c r="G358" i="5"/>
  <c r="F358" i="5"/>
  <c r="D358" i="5"/>
  <c r="C358" i="5"/>
  <c r="M357" i="5"/>
  <c r="L357" i="5"/>
  <c r="K357" i="5"/>
  <c r="J357" i="5"/>
  <c r="I357" i="5"/>
  <c r="H357" i="5"/>
  <c r="G357" i="5"/>
  <c r="F357" i="5"/>
  <c r="E357" i="5"/>
  <c r="D357" i="5"/>
  <c r="C357" i="5"/>
  <c r="B357" i="5"/>
  <c r="A357" i="5"/>
  <c r="K356" i="5"/>
  <c r="J356" i="5"/>
  <c r="I356" i="5"/>
  <c r="G356" i="5"/>
  <c r="M355" i="5"/>
  <c r="L355" i="5"/>
  <c r="K355" i="5"/>
  <c r="J355" i="5"/>
  <c r="I355" i="5"/>
  <c r="H355" i="5"/>
  <c r="F355" i="5"/>
  <c r="E355" i="5"/>
  <c r="M354" i="5"/>
  <c r="L354" i="5"/>
  <c r="K354" i="5"/>
  <c r="J354" i="5"/>
  <c r="I354" i="5"/>
  <c r="H354" i="5"/>
  <c r="G354" i="5"/>
  <c r="F354" i="5"/>
  <c r="E354" i="5"/>
  <c r="D354" i="5"/>
  <c r="C354" i="5"/>
  <c r="B354" i="5"/>
  <c r="A354" i="5"/>
  <c r="C353" i="5"/>
  <c r="B352" i="5"/>
  <c r="M350" i="5"/>
  <c r="L350" i="5"/>
  <c r="K350" i="5"/>
  <c r="J350" i="5"/>
  <c r="I350" i="5"/>
  <c r="H350" i="5"/>
  <c r="G350" i="5"/>
  <c r="F350" i="5"/>
  <c r="D350" i="5"/>
  <c r="C350" i="5"/>
  <c r="M349" i="5"/>
  <c r="L349" i="5"/>
  <c r="K349" i="5"/>
  <c r="J349" i="5"/>
  <c r="I349" i="5"/>
  <c r="H349" i="5"/>
  <c r="G349" i="5"/>
  <c r="F349" i="5"/>
  <c r="E349" i="5"/>
  <c r="D349" i="5"/>
  <c r="C349" i="5"/>
  <c r="B349" i="5"/>
  <c r="A349" i="5"/>
  <c r="M348" i="5"/>
  <c r="L348" i="5"/>
  <c r="K348" i="5"/>
  <c r="J348" i="5"/>
  <c r="I348" i="5"/>
  <c r="H348" i="5"/>
  <c r="G348" i="5"/>
  <c r="F348" i="5"/>
  <c r="D348" i="5"/>
  <c r="C348" i="5"/>
  <c r="M347" i="5"/>
  <c r="L347" i="5"/>
  <c r="K347" i="5"/>
  <c r="J347" i="5"/>
  <c r="I347" i="5"/>
  <c r="H347" i="5"/>
  <c r="G347" i="5"/>
  <c r="F347" i="5"/>
  <c r="E347" i="5"/>
  <c r="D347" i="5"/>
  <c r="C347" i="5"/>
  <c r="B347" i="5"/>
  <c r="A347" i="5"/>
  <c r="M346" i="5"/>
  <c r="L346" i="5"/>
  <c r="K346" i="5"/>
  <c r="J346" i="5"/>
  <c r="I346" i="5"/>
  <c r="H346" i="5"/>
  <c r="G346" i="5"/>
  <c r="F346" i="5"/>
  <c r="D346" i="5"/>
  <c r="C346" i="5"/>
  <c r="M345" i="5"/>
  <c r="L345" i="5"/>
  <c r="K345" i="5"/>
  <c r="J345" i="5"/>
  <c r="I345" i="5"/>
  <c r="H345" i="5"/>
  <c r="G345" i="5"/>
  <c r="F345" i="5"/>
  <c r="E345" i="5"/>
  <c r="D345" i="5"/>
  <c r="C345" i="5"/>
  <c r="B345" i="5"/>
  <c r="A345" i="5"/>
  <c r="M344" i="5"/>
  <c r="L344" i="5"/>
  <c r="K344" i="5"/>
  <c r="J344" i="5"/>
  <c r="I344" i="5"/>
  <c r="H344" i="5"/>
  <c r="G344" i="5"/>
  <c r="F344" i="5"/>
  <c r="D344" i="5"/>
  <c r="C344" i="5"/>
  <c r="M343" i="5"/>
  <c r="L343" i="5"/>
  <c r="K343" i="5"/>
  <c r="J343" i="5"/>
  <c r="I343" i="5"/>
  <c r="H343" i="5"/>
  <c r="G343" i="5"/>
  <c r="F343" i="5"/>
  <c r="E343" i="5"/>
  <c r="D343" i="5"/>
  <c r="C343" i="5"/>
  <c r="B343" i="5"/>
  <c r="A343" i="5"/>
  <c r="K342" i="5"/>
  <c r="J342" i="5"/>
  <c r="I342" i="5"/>
  <c r="G342" i="5"/>
  <c r="M341" i="5"/>
  <c r="L341" i="5"/>
  <c r="K341" i="5"/>
  <c r="J341" i="5"/>
  <c r="I341" i="5"/>
  <c r="H341" i="5"/>
  <c r="F341" i="5"/>
  <c r="E341" i="5"/>
  <c r="M340" i="5"/>
  <c r="L340" i="5"/>
  <c r="K340" i="5"/>
  <c r="J340" i="5"/>
  <c r="I340" i="5"/>
  <c r="H340" i="5"/>
  <c r="G340" i="5"/>
  <c r="F340" i="5"/>
  <c r="E340" i="5"/>
  <c r="D340" i="5"/>
  <c r="C340" i="5"/>
  <c r="B340" i="5"/>
  <c r="A340" i="5"/>
  <c r="C338" i="5"/>
  <c r="B338" i="5"/>
  <c r="M336" i="5"/>
  <c r="L336" i="5"/>
  <c r="K336" i="5"/>
  <c r="J336" i="5"/>
  <c r="I336" i="5"/>
  <c r="H336" i="5"/>
  <c r="G336" i="5"/>
  <c r="F336" i="5"/>
  <c r="D336" i="5"/>
  <c r="C336" i="5"/>
  <c r="M335" i="5"/>
  <c r="L335" i="5"/>
  <c r="K335" i="5"/>
  <c r="J335" i="5"/>
  <c r="I335" i="5"/>
  <c r="H335" i="5"/>
  <c r="G335" i="5"/>
  <c r="F335" i="5"/>
  <c r="E335" i="5"/>
  <c r="D335" i="5"/>
  <c r="C335" i="5"/>
  <c r="B335" i="5"/>
  <c r="A335" i="5"/>
  <c r="M334" i="5"/>
  <c r="L334" i="5"/>
  <c r="K334" i="5"/>
  <c r="J334" i="5"/>
  <c r="I334" i="5"/>
  <c r="H334" i="5"/>
  <c r="G334" i="5"/>
  <c r="F334" i="5"/>
  <c r="D334" i="5"/>
  <c r="C334" i="5"/>
  <c r="M333" i="5"/>
  <c r="L333" i="5"/>
  <c r="K333" i="5"/>
  <c r="J333" i="5"/>
  <c r="I333" i="5"/>
  <c r="H333" i="5"/>
  <c r="G333" i="5"/>
  <c r="F333" i="5"/>
  <c r="E333" i="5"/>
  <c r="D333" i="5"/>
  <c r="C333" i="5"/>
  <c r="B333" i="5"/>
  <c r="A333" i="5"/>
  <c r="K332" i="5"/>
  <c r="J332" i="5"/>
  <c r="I332" i="5"/>
  <c r="G332" i="5"/>
  <c r="M331" i="5"/>
  <c r="L331" i="5"/>
  <c r="K331" i="5"/>
  <c r="J331" i="5"/>
  <c r="I331" i="5"/>
  <c r="H331" i="5"/>
  <c r="F331" i="5"/>
  <c r="E331" i="5"/>
  <c r="M330" i="5"/>
  <c r="L330" i="5"/>
  <c r="K330" i="5"/>
  <c r="J330" i="5"/>
  <c r="I330" i="5"/>
  <c r="H330" i="5"/>
  <c r="G330" i="5"/>
  <c r="F330" i="5"/>
  <c r="E330" i="5"/>
  <c r="D330" i="5"/>
  <c r="C330" i="5"/>
  <c r="B330" i="5"/>
  <c r="A330" i="5"/>
  <c r="C328" i="5"/>
  <c r="B328" i="5"/>
  <c r="M326" i="5"/>
  <c r="L326" i="5"/>
  <c r="K326" i="5"/>
  <c r="J326" i="5"/>
  <c r="I326" i="5"/>
  <c r="H326" i="5"/>
  <c r="G326" i="5"/>
  <c r="F326" i="5"/>
  <c r="D326" i="5"/>
  <c r="C326" i="5"/>
  <c r="M325" i="5"/>
  <c r="L325" i="5"/>
  <c r="K325" i="5"/>
  <c r="J325" i="5"/>
  <c r="I325" i="5"/>
  <c r="H325" i="5"/>
  <c r="G325" i="5"/>
  <c r="F325" i="5"/>
  <c r="E325" i="5"/>
  <c r="D325" i="5"/>
  <c r="C325" i="5"/>
  <c r="B325" i="5"/>
  <c r="A325" i="5"/>
  <c r="M324" i="5"/>
  <c r="L324" i="5"/>
  <c r="K324" i="5"/>
  <c r="J324" i="5"/>
  <c r="I324" i="5"/>
  <c r="H324" i="5"/>
  <c r="G324" i="5"/>
  <c r="F324" i="5"/>
  <c r="D324" i="5"/>
  <c r="C324" i="5"/>
  <c r="M323" i="5"/>
  <c r="L323" i="5"/>
  <c r="K323" i="5"/>
  <c r="J323" i="5"/>
  <c r="I323" i="5"/>
  <c r="H323" i="5"/>
  <c r="G323" i="5"/>
  <c r="F323" i="5"/>
  <c r="E323" i="5"/>
  <c r="D323" i="5"/>
  <c r="C323" i="5"/>
  <c r="B323" i="5"/>
  <c r="A323" i="5"/>
  <c r="M322" i="5"/>
  <c r="L322" i="5"/>
  <c r="K322" i="5"/>
  <c r="J322" i="5"/>
  <c r="I322" i="5"/>
  <c r="H322" i="5"/>
  <c r="G322" i="5"/>
  <c r="F322" i="5"/>
  <c r="D322" i="5"/>
  <c r="C322" i="5"/>
  <c r="M321" i="5"/>
  <c r="L321" i="5"/>
  <c r="K321" i="5"/>
  <c r="J321" i="5"/>
  <c r="I321" i="5"/>
  <c r="H321" i="5"/>
  <c r="G321" i="5"/>
  <c r="F321" i="5"/>
  <c r="E321" i="5"/>
  <c r="D321" i="5"/>
  <c r="C321" i="5"/>
  <c r="B321" i="5"/>
  <c r="A321" i="5"/>
  <c r="M320" i="5"/>
  <c r="L320" i="5"/>
  <c r="K320" i="5"/>
  <c r="J320" i="5"/>
  <c r="I320" i="5"/>
  <c r="H320" i="5"/>
  <c r="G320" i="5"/>
  <c r="F320" i="5"/>
  <c r="D320" i="5"/>
  <c r="C320" i="5"/>
  <c r="M319" i="5"/>
  <c r="L319" i="5"/>
  <c r="K319" i="5"/>
  <c r="J319" i="5"/>
  <c r="I319" i="5"/>
  <c r="H319" i="5"/>
  <c r="G319" i="5"/>
  <c r="F319" i="5"/>
  <c r="E319" i="5"/>
  <c r="D319" i="5"/>
  <c r="C319" i="5"/>
  <c r="B319" i="5"/>
  <c r="A319" i="5"/>
  <c r="K318" i="5"/>
  <c r="J318" i="5"/>
  <c r="I318" i="5"/>
  <c r="G318" i="5"/>
  <c r="M317" i="5"/>
  <c r="L317" i="5"/>
  <c r="K317" i="5"/>
  <c r="J317" i="5"/>
  <c r="I317" i="5"/>
  <c r="H317" i="5"/>
  <c r="F317" i="5"/>
  <c r="E317" i="5"/>
  <c r="M316" i="5"/>
  <c r="L316" i="5"/>
  <c r="K316" i="5"/>
  <c r="J316" i="5"/>
  <c r="I316" i="5"/>
  <c r="H316" i="5"/>
  <c r="G316" i="5"/>
  <c r="F316" i="5"/>
  <c r="E316" i="5"/>
  <c r="D316" i="5"/>
  <c r="C316" i="5"/>
  <c r="B316" i="5"/>
  <c r="A316" i="5"/>
  <c r="C315" i="5"/>
  <c r="C314" i="5"/>
  <c r="B314" i="5"/>
  <c r="M312" i="5"/>
  <c r="L312" i="5"/>
  <c r="K312" i="5"/>
  <c r="J312" i="5"/>
  <c r="I312" i="5"/>
  <c r="H312" i="5"/>
  <c r="G312" i="5"/>
  <c r="F312" i="5"/>
  <c r="E312" i="5"/>
  <c r="D312" i="5"/>
  <c r="C312" i="5"/>
  <c r="B312" i="5"/>
  <c r="A312" i="5"/>
  <c r="M311" i="5"/>
  <c r="L311" i="5"/>
  <c r="K311" i="5"/>
  <c r="J311" i="5"/>
  <c r="I311" i="5"/>
  <c r="H311" i="5"/>
  <c r="G311" i="5"/>
  <c r="F311" i="5"/>
  <c r="D311" i="5"/>
  <c r="C311" i="5"/>
  <c r="M310" i="5"/>
  <c r="L310" i="5"/>
  <c r="K310" i="5"/>
  <c r="J310" i="5"/>
  <c r="I310" i="5"/>
  <c r="H310" i="5"/>
  <c r="G310" i="5"/>
  <c r="F310" i="5"/>
  <c r="E310" i="5"/>
  <c r="D310" i="5"/>
  <c r="C310" i="5"/>
  <c r="B310" i="5"/>
  <c r="A310" i="5"/>
  <c r="M309" i="5"/>
  <c r="L309" i="5"/>
  <c r="K309" i="5"/>
  <c r="J309" i="5"/>
  <c r="I309" i="5"/>
  <c r="H309" i="5"/>
  <c r="G309" i="5"/>
  <c r="F309" i="5"/>
  <c r="D309" i="5"/>
  <c r="C309" i="5"/>
  <c r="M308" i="5"/>
  <c r="L308" i="5"/>
  <c r="K308" i="5"/>
  <c r="J308" i="5"/>
  <c r="I308" i="5"/>
  <c r="H308" i="5"/>
  <c r="G308" i="5"/>
  <c r="F308" i="5"/>
  <c r="E308" i="5"/>
  <c r="D308" i="5"/>
  <c r="C308" i="5"/>
  <c r="B308" i="5"/>
  <c r="A308" i="5"/>
  <c r="M307" i="5"/>
  <c r="L307" i="5"/>
  <c r="K307" i="5"/>
  <c r="J307" i="5"/>
  <c r="I307" i="5"/>
  <c r="H307" i="5"/>
  <c r="G307" i="5"/>
  <c r="F307" i="5"/>
  <c r="D307" i="5"/>
  <c r="C307" i="5"/>
  <c r="M306" i="5"/>
  <c r="L306" i="5"/>
  <c r="K306" i="5"/>
  <c r="J306" i="5"/>
  <c r="I306" i="5"/>
  <c r="H306" i="5"/>
  <c r="G306" i="5"/>
  <c r="F306" i="5"/>
  <c r="E306" i="5"/>
  <c r="D306" i="5"/>
  <c r="C306" i="5"/>
  <c r="B306" i="5"/>
  <c r="A306" i="5"/>
  <c r="M305" i="5"/>
  <c r="L305" i="5"/>
  <c r="K305" i="5"/>
  <c r="J305" i="5"/>
  <c r="I305" i="5"/>
  <c r="H305" i="5"/>
  <c r="G305" i="5"/>
  <c r="F305" i="5"/>
  <c r="D305" i="5"/>
  <c r="C305" i="5"/>
  <c r="M304" i="5"/>
  <c r="L304" i="5"/>
  <c r="K304" i="5"/>
  <c r="J304" i="5"/>
  <c r="I304" i="5"/>
  <c r="H304" i="5"/>
  <c r="G304" i="5"/>
  <c r="F304" i="5"/>
  <c r="E304" i="5"/>
  <c r="D304" i="5"/>
  <c r="C304" i="5"/>
  <c r="B304" i="5"/>
  <c r="A304" i="5"/>
  <c r="K303" i="5"/>
  <c r="J303" i="5"/>
  <c r="I303" i="5"/>
  <c r="G303" i="5"/>
  <c r="M302" i="5"/>
  <c r="L302" i="5"/>
  <c r="K302" i="5"/>
  <c r="J302" i="5"/>
  <c r="I302" i="5"/>
  <c r="H302" i="5"/>
  <c r="F302" i="5"/>
  <c r="E302" i="5"/>
  <c r="M301" i="5"/>
  <c r="L301" i="5"/>
  <c r="K301" i="5"/>
  <c r="J301" i="5"/>
  <c r="I301" i="5"/>
  <c r="H301" i="5"/>
  <c r="G301" i="5"/>
  <c r="F301" i="5"/>
  <c r="E301" i="5"/>
  <c r="D301" i="5"/>
  <c r="C301" i="5"/>
  <c r="B301" i="5"/>
  <c r="A301" i="5"/>
  <c r="C299" i="5"/>
  <c r="B299" i="5"/>
  <c r="M297" i="5"/>
  <c r="L297" i="5"/>
  <c r="K297" i="5"/>
  <c r="J297" i="5"/>
  <c r="I297" i="5"/>
  <c r="H297" i="5"/>
  <c r="G297" i="5"/>
  <c r="F297" i="5"/>
  <c r="E297" i="5"/>
  <c r="D297" i="5"/>
  <c r="C297" i="5"/>
  <c r="B297" i="5"/>
  <c r="A297" i="5"/>
  <c r="M296" i="5"/>
  <c r="L296" i="5"/>
  <c r="K296" i="5"/>
  <c r="J296" i="5"/>
  <c r="I296" i="5"/>
  <c r="H296" i="5"/>
  <c r="G296" i="5"/>
  <c r="F296" i="5"/>
  <c r="D296" i="5"/>
  <c r="C296" i="5"/>
  <c r="M295" i="5"/>
  <c r="L295" i="5"/>
  <c r="K295" i="5"/>
  <c r="J295" i="5"/>
  <c r="I295" i="5"/>
  <c r="H295" i="5"/>
  <c r="G295" i="5"/>
  <c r="F295" i="5"/>
  <c r="E295" i="5"/>
  <c r="D295" i="5"/>
  <c r="C295" i="5"/>
  <c r="B295" i="5"/>
  <c r="A295" i="5"/>
  <c r="M294" i="5"/>
  <c r="L294" i="5"/>
  <c r="K294" i="5"/>
  <c r="J294" i="5"/>
  <c r="I294" i="5"/>
  <c r="H294" i="5"/>
  <c r="G294" i="5"/>
  <c r="F294" i="5"/>
  <c r="D294" i="5"/>
  <c r="C294" i="5"/>
  <c r="M293" i="5"/>
  <c r="L293" i="5"/>
  <c r="K293" i="5"/>
  <c r="J293" i="5"/>
  <c r="I293" i="5"/>
  <c r="H293" i="5"/>
  <c r="G293" i="5"/>
  <c r="F293" i="5"/>
  <c r="E293" i="5"/>
  <c r="D293" i="5"/>
  <c r="C293" i="5"/>
  <c r="B293" i="5"/>
  <c r="A293" i="5"/>
  <c r="M292" i="5"/>
  <c r="L292" i="5"/>
  <c r="K292" i="5"/>
  <c r="J292" i="5"/>
  <c r="I292" i="5"/>
  <c r="H292" i="5"/>
  <c r="G292" i="5"/>
  <c r="F292" i="5"/>
  <c r="D292" i="5"/>
  <c r="C292" i="5"/>
  <c r="M291" i="5"/>
  <c r="L291" i="5"/>
  <c r="K291" i="5"/>
  <c r="J291" i="5"/>
  <c r="I291" i="5"/>
  <c r="H291" i="5"/>
  <c r="G291" i="5"/>
  <c r="F291" i="5"/>
  <c r="E291" i="5"/>
  <c r="D291" i="5"/>
  <c r="C291" i="5"/>
  <c r="B291" i="5"/>
  <c r="A291" i="5"/>
  <c r="K290" i="5"/>
  <c r="J290" i="5"/>
  <c r="I290" i="5"/>
  <c r="G290" i="5"/>
  <c r="M289" i="5"/>
  <c r="L289" i="5"/>
  <c r="K289" i="5"/>
  <c r="J289" i="5"/>
  <c r="I289" i="5"/>
  <c r="H289" i="5"/>
  <c r="F289" i="5"/>
  <c r="E289" i="5"/>
  <c r="M288" i="5"/>
  <c r="L288" i="5"/>
  <c r="K288" i="5"/>
  <c r="J288" i="5"/>
  <c r="I288" i="5"/>
  <c r="H288" i="5"/>
  <c r="G288" i="5"/>
  <c r="F288" i="5"/>
  <c r="E288" i="5"/>
  <c r="D288" i="5"/>
  <c r="C288" i="5"/>
  <c r="B288" i="5"/>
  <c r="A288" i="5"/>
  <c r="C286" i="5"/>
  <c r="B286" i="5"/>
  <c r="M284" i="5"/>
  <c r="L284" i="5"/>
  <c r="K284" i="5"/>
  <c r="J284" i="5"/>
  <c r="I284" i="5"/>
  <c r="H284" i="5"/>
  <c r="G284" i="5"/>
  <c r="F284" i="5"/>
  <c r="D284" i="5"/>
  <c r="C284" i="5"/>
  <c r="M283" i="5"/>
  <c r="L283" i="5"/>
  <c r="K283" i="5"/>
  <c r="J283" i="5"/>
  <c r="I283" i="5"/>
  <c r="H283" i="5"/>
  <c r="G283" i="5"/>
  <c r="F283" i="5"/>
  <c r="E283" i="5"/>
  <c r="D283" i="5"/>
  <c r="C283" i="5"/>
  <c r="B283" i="5"/>
  <c r="A283" i="5"/>
  <c r="M282" i="5"/>
  <c r="L282" i="5"/>
  <c r="K282" i="5"/>
  <c r="J282" i="5"/>
  <c r="I282" i="5"/>
  <c r="H282" i="5"/>
  <c r="G282" i="5"/>
  <c r="F282" i="5"/>
  <c r="D282" i="5"/>
  <c r="C282" i="5"/>
  <c r="M281" i="5"/>
  <c r="L281" i="5"/>
  <c r="K281" i="5"/>
  <c r="J281" i="5"/>
  <c r="I281" i="5"/>
  <c r="H281" i="5"/>
  <c r="G281" i="5"/>
  <c r="F281" i="5"/>
  <c r="E281" i="5"/>
  <c r="D281" i="5"/>
  <c r="C281" i="5"/>
  <c r="B281" i="5"/>
  <c r="A281" i="5"/>
  <c r="M280" i="5"/>
  <c r="L280" i="5"/>
  <c r="K280" i="5"/>
  <c r="J280" i="5"/>
  <c r="I280" i="5"/>
  <c r="H280" i="5"/>
  <c r="G280" i="5"/>
  <c r="F280" i="5"/>
  <c r="E280" i="5"/>
  <c r="D280" i="5"/>
  <c r="C280" i="5"/>
  <c r="B280" i="5"/>
  <c r="A280" i="5"/>
  <c r="K279" i="5"/>
  <c r="J279" i="5"/>
  <c r="I279" i="5"/>
  <c r="G279" i="5"/>
  <c r="M278" i="5"/>
  <c r="L278" i="5"/>
  <c r="K278" i="5"/>
  <c r="J278" i="5"/>
  <c r="I278" i="5"/>
  <c r="H278" i="5"/>
  <c r="F278" i="5"/>
  <c r="E278" i="5"/>
  <c r="M277" i="5"/>
  <c r="L277" i="5"/>
  <c r="K277" i="5"/>
  <c r="J277" i="5"/>
  <c r="I277" i="5"/>
  <c r="H277" i="5"/>
  <c r="G277" i="5"/>
  <c r="F277" i="5"/>
  <c r="E277" i="5"/>
  <c r="D277" i="5"/>
  <c r="C277" i="5"/>
  <c r="B277" i="5"/>
  <c r="A277" i="5"/>
  <c r="C276" i="5"/>
  <c r="I275" i="5"/>
  <c r="C275" i="5"/>
  <c r="B275" i="5"/>
  <c r="M272" i="5"/>
  <c r="L272" i="5"/>
  <c r="K272" i="5"/>
  <c r="J272" i="5"/>
  <c r="I272" i="5"/>
  <c r="H272" i="5"/>
  <c r="G272" i="5"/>
  <c r="F272" i="5"/>
  <c r="E272" i="5"/>
  <c r="D272" i="5"/>
  <c r="C272" i="5"/>
  <c r="B272" i="5"/>
  <c r="A272" i="5"/>
  <c r="M271" i="5"/>
  <c r="L271" i="5"/>
  <c r="K271" i="5"/>
  <c r="J271" i="5"/>
  <c r="I271" i="5"/>
  <c r="H271" i="5"/>
  <c r="G271" i="5"/>
  <c r="F271" i="5"/>
  <c r="D271" i="5"/>
  <c r="C271" i="5"/>
  <c r="M270" i="5"/>
  <c r="L270" i="5"/>
  <c r="K270" i="5"/>
  <c r="J270" i="5"/>
  <c r="I270" i="5"/>
  <c r="H270" i="5"/>
  <c r="G270" i="5"/>
  <c r="F270" i="5"/>
  <c r="E270" i="5"/>
  <c r="D270" i="5"/>
  <c r="C270" i="5"/>
  <c r="B270" i="5"/>
  <c r="A270" i="5"/>
  <c r="M269" i="5"/>
  <c r="L269" i="5"/>
  <c r="K269" i="5"/>
  <c r="J269" i="5"/>
  <c r="I269" i="5"/>
  <c r="H269" i="5"/>
  <c r="G269" i="5"/>
  <c r="F269" i="5"/>
  <c r="D269" i="5"/>
  <c r="C269" i="5"/>
  <c r="M268" i="5"/>
  <c r="L268" i="5"/>
  <c r="K268" i="5"/>
  <c r="J268" i="5"/>
  <c r="I268" i="5"/>
  <c r="H268" i="5"/>
  <c r="G268" i="5"/>
  <c r="F268" i="5"/>
  <c r="E268" i="5"/>
  <c r="D268" i="5"/>
  <c r="C268" i="5"/>
  <c r="B268" i="5"/>
  <c r="A268" i="5"/>
  <c r="K267" i="5"/>
  <c r="J267" i="5"/>
  <c r="I267" i="5"/>
  <c r="G267" i="5"/>
  <c r="M266" i="5"/>
  <c r="L266" i="5"/>
  <c r="K266" i="5"/>
  <c r="J266" i="5"/>
  <c r="I266" i="5"/>
  <c r="H266" i="5"/>
  <c r="F266" i="5"/>
  <c r="E266" i="5"/>
  <c r="M265" i="5"/>
  <c r="L265" i="5"/>
  <c r="K265" i="5"/>
  <c r="J265" i="5"/>
  <c r="I265" i="5"/>
  <c r="H265" i="5"/>
  <c r="G265" i="5"/>
  <c r="F265" i="5"/>
  <c r="E265" i="5"/>
  <c r="D265" i="5"/>
  <c r="C265" i="5"/>
  <c r="B265" i="5"/>
  <c r="A265" i="5"/>
  <c r="C264" i="5"/>
  <c r="C263" i="5"/>
  <c r="B263" i="5"/>
  <c r="M261" i="5"/>
  <c r="L261" i="5"/>
  <c r="K261" i="5"/>
  <c r="J261" i="5"/>
  <c r="I261" i="5"/>
  <c r="H261" i="5"/>
  <c r="G261" i="5"/>
  <c r="F261" i="5"/>
  <c r="E261" i="5"/>
  <c r="D261" i="5"/>
  <c r="C261" i="5"/>
  <c r="B261" i="5"/>
  <c r="A261" i="5"/>
  <c r="M260" i="5"/>
  <c r="L260" i="5"/>
  <c r="K260" i="5"/>
  <c r="J260" i="5"/>
  <c r="I260" i="5"/>
  <c r="H260" i="5"/>
  <c r="G260" i="5"/>
  <c r="F260" i="5"/>
  <c r="D260" i="5"/>
  <c r="C260" i="5"/>
  <c r="M259" i="5"/>
  <c r="L259" i="5"/>
  <c r="K259" i="5"/>
  <c r="J259" i="5"/>
  <c r="I259" i="5"/>
  <c r="H259" i="5"/>
  <c r="G259" i="5"/>
  <c r="F259" i="5"/>
  <c r="E259" i="5"/>
  <c r="D259" i="5"/>
  <c r="C259" i="5"/>
  <c r="B259" i="5"/>
  <c r="A259" i="5"/>
  <c r="M258" i="5"/>
  <c r="L258" i="5"/>
  <c r="K258" i="5"/>
  <c r="J258" i="5"/>
  <c r="I258" i="5"/>
  <c r="H258" i="5"/>
  <c r="G258" i="5"/>
  <c r="F258" i="5"/>
  <c r="D258" i="5"/>
  <c r="C258" i="5"/>
  <c r="M257" i="5"/>
  <c r="L257" i="5"/>
  <c r="K257" i="5"/>
  <c r="J257" i="5"/>
  <c r="I257" i="5"/>
  <c r="H257" i="5"/>
  <c r="G257" i="5"/>
  <c r="F257" i="5"/>
  <c r="E257" i="5"/>
  <c r="D257" i="5"/>
  <c r="C257" i="5"/>
  <c r="B257" i="5"/>
  <c r="A257" i="5"/>
  <c r="M256" i="5"/>
  <c r="L256" i="5"/>
  <c r="K256" i="5"/>
  <c r="J256" i="5"/>
  <c r="I256" i="5"/>
  <c r="H256" i="5"/>
  <c r="G256" i="5"/>
  <c r="F256" i="5"/>
  <c r="D256" i="5"/>
  <c r="C256" i="5"/>
  <c r="M255" i="5"/>
  <c r="L255" i="5"/>
  <c r="K255" i="5"/>
  <c r="J255" i="5"/>
  <c r="I255" i="5"/>
  <c r="H255" i="5"/>
  <c r="G255" i="5"/>
  <c r="F255" i="5"/>
  <c r="E255" i="5"/>
  <c r="D255" i="5"/>
  <c r="C255" i="5"/>
  <c r="B255" i="5"/>
  <c r="A255" i="5"/>
  <c r="K254" i="5"/>
  <c r="J254" i="5"/>
  <c r="I254" i="5"/>
  <c r="G254" i="5"/>
  <c r="M253" i="5"/>
  <c r="L253" i="5"/>
  <c r="K253" i="5"/>
  <c r="J253" i="5"/>
  <c r="I253" i="5"/>
  <c r="H253" i="5"/>
  <c r="F253" i="5"/>
  <c r="E253" i="5"/>
  <c r="M252" i="5"/>
  <c r="L252" i="5"/>
  <c r="K252" i="5"/>
  <c r="J252" i="5"/>
  <c r="I252" i="5"/>
  <c r="H252" i="5"/>
  <c r="G252" i="5"/>
  <c r="F252" i="5"/>
  <c r="E252" i="5"/>
  <c r="D252" i="5"/>
  <c r="C252" i="5"/>
  <c r="B252" i="5"/>
  <c r="A252" i="5"/>
  <c r="C251" i="5"/>
  <c r="G250" i="5"/>
  <c r="C250" i="5"/>
  <c r="B250" i="5"/>
  <c r="M247" i="5"/>
  <c r="L247" i="5"/>
  <c r="K247" i="5"/>
  <c r="J247" i="5"/>
  <c r="I247" i="5"/>
  <c r="H247" i="5"/>
  <c r="G247" i="5"/>
  <c r="F247" i="5"/>
  <c r="E247" i="5"/>
  <c r="D247" i="5"/>
  <c r="C247" i="5"/>
  <c r="B247" i="5"/>
  <c r="A247" i="5"/>
  <c r="M246" i="5"/>
  <c r="L246" i="5"/>
  <c r="K246" i="5"/>
  <c r="J246" i="5"/>
  <c r="I246" i="5"/>
  <c r="H246" i="5"/>
  <c r="G246" i="5"/>
  <c r="F246" i="5"/>
  <c r="D246" i="5"/>
  <c r="C246" i="5"/>
  <c r="M245" i="5"/>
  <c r="L245" i="5"/>
  <c r="K245" i="5"/>
  <c r="J245" i="5"/>
  <c r="I245" i="5"/>
  <c r="H245" i="5"/>
  <c r="G245" i="5"/>
  <c r="F245" i="5"/>
  <c r="E245" i="5"/>
  <c r="D245" i="5"/>
  <c r="C245" i="5"/>
  <c r="B245" i="5"/>
  <c r="A245" i="5"/>
  <c r="K244" i="5"/>
  <c r="J244" i="5"/>
  <c r="I244" i="5"/>
  <c r="G244" i="5"/>
  <c r="M243" i="5"/>
  <c r="L243" i="5"/>
  <c r="K243" i="5"/>
  <c r="J243" i="5"/>
  <c r="I243" i="5"/>
  <c r="H243" i="5"/>
  <c r="F243" i="5"/>
  <c r="E243" i="5"/>
  <c r="M242" i="5"/>
  <c r="L242" i="5"/>
  <c r="K242" i="5"/>
  <c r="J242" i="5"/>
  <c r="I242" i="5"/>
  <c r="H242" i="5"/>
  <c r="G242" i="5"/>
  <c r="F242" i="5"/>
  <c r="E242" i="5"/>
  <c r="D242" i="5"/>
  <c r="C242" i="5"/>
  <c r="B242" i="5"/>
  <c r="A242" i="5"/>
  <c r="C241" i="5"/>
  <c r="C240" i="5"/>
  <c r="B240" i="5"/>
  <c r="M237" i="5"/>
  <c r="L237" i="5"/>
  <c r="K237" i="5"/>
  <c r="J237" i="5"/>
  <c r="I237" i="5"/>
  <c r="H237" i="5"/>
  <c r="G237" i="5"/>
  <c r="F237" i="5"/>
  <c r="D237" i="5"/>
  <c r="C237" i="5"/>
  <c r="M236" i="5"/>
  <c r="L236" i="5"/>
  <c r="K236" i="5"/>
  <c r="J236" i="5"/>
  <c r="I236" i="5"/>
  <c r="H236" i="5"/>
  <c r="G236" i="5"/>
  <c r="F236" i="5"/>
  <c r="E236" i="5"/>
  <c r="D236" i="5"/>
  <c r="C236" i="5"/>
  <c r="B236" i="5"/>
  <c r="A236" i="5"/>
  <c r="M235" i="5"/>
  <c r="L235" i="5"/>
  <c r="K235" i="5"/>
  <c r="J235" i="5"/>
  <c r="I235" i="5"/>
  <c r="H235" i="5"/>
  <c r="G235" i="5"/>
  <c r="F235" i="5"/>
  <c r="D235" i="5"/>
  <c r="C235" i="5"/>
  <c r="M234" i="5"/>
  <c r="L234" i="5"/>
  <c r="K234" i="5"/>
  <c r="J234" i="5"/>
  <c r="I234" i="5"/>
  <c r="H234" i="5"/>
  <c r="G234" i="5"/>
  <c r="F234" i="5"/>
  <c r="E234" i="5"/>
  <c r="D234" i="5"/>
  <c r="C234" i="5"/>
  <c r="B234" i="5"/>
  <c r="A234" i="5"/>
  <c r="K233" i="5"/>
  <c r="J233" i="5"/>
  <c r="I233" i="5"/>
  <c r="G233" i="5"/>
  <c r="M232" i="5"/>
  <c r="L232" i="5"/>
  <c r="K232" i="5"/>
  <c r="J232" i="5"/>
  <c r="I232" i="5"/>
  <c r="H232" i="5"/>
  <c r="F232" i="5"/>
  <c r="E232" i="5"/>
  <c r="M231" i="5"/>
  <c r="L231" i="5"/>
  <c r="K231" i="5"/>
  <c r="J231" i="5"/>
  <c r="I231" i="5"/>
  <c r="H231" i="5"/>
  <c r="G231" i="5"/>
  <c r="F231" i="5"/>
  <c r="E231" i="5"/>
  <c r="D231" i="5"/>
  <c r="C231" i="5"/>
  <c r="B231" i="5"/>
  <c r="A231" i="5"/>
  <c r="C230" i="5"/>
  <c r="C229" i="5"/>
  <c r="B229" i="5"/>
  <c r="M227" i="5"/>
  <c r="L227" i="5"/>
  <c r="K227" i="5"/>
  <c r="J227" i="5"/>
  <c r="I227" i="5"/>
  <c r="H227" i="5"/>
  <c r="G227" i="5"/>
  <c r="F227" i="5"/>
  <c r="E227" i="5"/>
  <c r="D227" i="5"/>
  <c r="C227" i="5"/>
  <c r="B227" i="5"/>
  <c r="A227" i="5"/>
  <c r="M226" i="5"/>
  <c r="L226" i="5"/>
  <c r="K226" i="5"/>
  <c r="J226" i="5"/>
  <c r="I226" i="5"/>
  <c r="H226" i="5"/>
  <c r="G226" i="5"/>
  <c r="F226" i="5"/>
  <c r="D226" i="5"/>
  <c r="C226" i="5"/>
  <c r="M225" i="5"/>
  <c r="L225" i="5"/>
  <c r="K225" i="5"/>
  <c r="J225" i="5"/>
  <c r="I225" i="5"/>
  <c r="H225" i="5"/>
  <c r="G225" i="5"/>
  <c r="F225" i="5"/>
  <c r="E225" i="5"/>
  <c r="D225" i="5"/>
  <c r="C225" i="5"/>
  <c r="B225" i="5"/>
  <c r="A225" i="5"/>
  <c r="M224" i="5"/>
  <c r="L224" i="5"/>
  <c r="K224" i="5"/>
  <c r="J224" i="5"/>
  <c r="I224" i="5"/>
  <c r="H224" i="5"/>
  <c r="G224" i="5"/>
  <c r="F224" i="5"/>
  <c r="D224" i="5"/>
  <c r="C224" i="5"/>
  <c r="M223" i="5"/>
  <c r="L223" i="5"/>
  <c r="K223" i="5"/>
  <c r="J223" i="5"/>
  <c r="I223" i="5"/>
  <c r="H223" i="5"/>
  <c r="G223" i="5"/>
  <c r="F223" i="5"/>
  <c r="E223" i="5"/>
  <c r="D223" i="5"/>
  <c r="C223" i="5"/>
  <c r="B223" i="5"/>
  <c r="A223" i="5"/>
  <c r="M222" i="5"/>
  <c r="L222" i="5"/>
  <c r="K222" i="5"/>
  <c r="J222" i="5"/>
  <c r="I222" i="5"/>
  <c r="H222" i="5"/>
  <c r="G222" i="5"/>
  <c r="F222" i="5"/>
  <c r="D222" i="5"/>
  <c r="C222" i="5"/>
  <c r="M221" i="5"/>
  <c r="L221" i="5"/>
  <c r="K221" i="5"/>
  <c r="J221" i="5"/>
  <c r="I221" i="5"/>
  <c r="H221" i="5"/>
  <c r="G221" i="5"/>
  <c r="F221" i="5"/>
  <c r="E221" i="5"/>
  <c r="D221" i="5"/>
  <c r="C221" i="5"/>
  <c r="B221" i="5"/>
  <c r="A221" i="5"/>
  <c r="M220" i="5"/>
  <c r="L220" i="5"/>
  <c r="K220" i="5"/>
  <c r="J220" i="5"/>
  <c r="I220" i="5"/>
  <c r="H220" i="5"/>
  <c r="G220" i="5"/>
  <c r="F220" i="5"/>
  <c r="D220" i="5"/>
  <c r="C220" i="5"/>
  <c r="M219" i="5"/>
  <c r="L219" i="5"/>
  <c r="K219" i="5"/>
  <c r="J219" i="5"/>
  <c r="I219" i="5"/>
  <c r="H219" i="5"/>
  <c r="G219" i="5"/>
  <c r="F219" i="5"/>
  <c r="E219" i="5"/>
  <c r="D219" i="5"/>
  <c r="C219" i="5"/>
  <c r="B219" i="5"/>
  <c r="A219" i="5"/>
  <c r="K218" i="5"/>
  <c r="J218" i="5"/>
  <c r="I218" i="5"/>
  <c r="G218" i="5"/>
  <c r="M217" i="5"/>
  <c r="L217" i="5"/>
  <c r="K217" i="5"/>
  <c r="J217" i="5"/>
  <c r="I217" i="5"/>
  <c r="H217" i="5"/>
  <c r="F217" i="5"/>
  <c r="E217" i="5"/>
  <c r="M216" i="5"/>
  <c r="L216" i="5"/>
  <c r="K216" i="5"/>
  <c r="J216" i="5"/>
  <c r="I216" i="5"/>
  <c r="H216" i="5"/>
  <c r="G216" i="5"/>
  <c r="F216" i="5"/>
  <c r="E216" i="5"/>
  <c r="D216" i="5"/>
  <c r="C216" i="5"/>
  <c r="B216" i="5"/>
  <c r="A216" i="5"/>
  <c r="C214" i="5"/>
  <c r="B214" i="5"/>
  <c r="M212" i="5"/>
  <c r="L212" i="5"/>
  <c r="K212" i="5"/>
  <c r="J212" i="5"/>
  <c r="I212" i="5"/>
  <c r="H212" i="5"/>
  <c r="G212" i="5"/>
  <c r="F212" i="5"/>
  <c r="D212" i="5"/>
  <c r="C212" i="5"/>
  <c r="M211" i="5"/>
  <c r="L211" i="5"/>
  <c r="K211" i="5"/>
  <c r="J211" i="5"/>
  <c r="I211" i="5"/>
  <c r="H211" i="5"/>
  <c r="G211" i="5"/>
  <c r="F211" i="5"/>
  <c r="E211" i="5"/>
  <c r="D211" i="5"/>
  <c r="C211" i="5"/>
  <c r="B211" i="5"/>
  <c r="A211" i="5"/>
  <c r="K210" i="5"/>
  <c r="J210" i="5"/>
  <c r="I210" i="5"/>
  <c r="G210" i="5"/>
  <c r="M209" i="5"/>
  <c r="L209" i="5"/>
  <c r="K209" i="5"/>
  <c r="J209" i="5"/>
  <c r="I209" i="5"/>
  <c r="H209" i="5"/>
  <c r="F209" i="5"/>
  <c r="E209" i="5"/>
  <c r="M208" i="5"/>
  <c r="L208" i="5"/>
  <c r="K208" i="5"/>
  <c r="J208" i="5"/>
  <c r="I208" i="5"/>
  <c r="H208" i="5"/>
  <c r="G208" i="5"/>
  <c r="F208" i="5"/>
  <c r="E208" i="5"/>
  <c r="D208" i="5"/>
  <c r="C208" i="5"/>
  <c r="B208" i="5"/>
  <c r="A208" i="5"/>
  <c r="C206" i="5"/>
  <c r="B206" i="5"/>
  <c r="M204" i="5"/>
  <c r="L204" i="5"/>
  <c r="K204" i="5"/>
  <c r="J204" i="5"/>
  <c r="I204" i="5"/>
  <c r="H204" i="5"/>
  <c r="G204" i="5"/>
  <c r="F204" i="5"/>
  <c r="D204" i="5"/>
  <c r="C204" i="5"/>
  <c r="M203" i="5"/>
  <c r="L203" i="5"/>
  <c r="K203" i="5"/>
  <c r="J203" i="5"/>
  <c r="I203" i="5"/>
  <c r="H203" i="5"/>
  <c r="G203" i="5"/>
  <c r="F203" i="5"/>
  <c r="E203" i="5"/>
  <c r="D203" i="5"/>
  <c r="C203" i="5"/>
  <c r="B203" i="5"/>
  <c r="A203" i="5"/>
  <c r="M202" i="5"/>
  <c r="L202" i="5"/>
  <c r="K202" i="5"/>
  <c r="J202" i="5"/>
  <c r="I202" i="5"/>
  <c r="H202" i="5"/>
  <c r="G202" i="5"/>
  <c r="F202" i="5"/>
  <c r="D202" i="5"/>
  <c r="C202" i="5"/>
  <c r="M201" i="5"/>
  <c r="L201" i="5"/>
  <c r="K201" i="5"/>
  <c r="J201" i="5"/>
  <c r="I201" i="5"/>
  <c r="H201" i="5"/>
  <c r="G201" i="5"/>
  <c r="F201" i="5"/>
  <c r="E201" i="5"/>
  <c r="D201" i="5"/>
  <c r="C201" i="5"/>
  <c r="B201" i="5"/>
  <c r="A201" i="5"/>
  <c r="M200" i="5"/>
  <c r="L200" i="5"/>
  <c r="K200" i="5"/>
  <c r="J200" i="5"/>
  <c r="I200" i="5"/>
  <c r="H200" i="5"/>
  <c r="G200" i="5"/>
  <c r="F200" i="5"/>
  <c r="E200" i="5"/>
  <c r="D200" i="5"/>
  <c r="C200" i="5"/>
  <c r="B200" i="5"/>
  <c r="A200" i="5"/>
  <c r="K199" i="5"/>
  <c r="J199" i="5"/>
  <c r="I199" i="5"/>
  <c r="G199" i="5"/>
  <c r="M198" i="5"/>
  <c r="L198" i="5"/>
  <c r="K198" i="5"/>
  <c r="J198" i="5"/>
  <c r="I198" i="5"/>
  <c r="H198" i="5"/>
  <c r="F198" i="5"/>
  <c r="E198" i="5"/>
  <c r="M197" i="5"/>
  <c r="L197" i="5"/>
  <c r="K197" i="5"/>
  <c r="J197" i="5"/>
  <c r="I197" i="5"/>
  <c r="H197" i="5"/>
  <c r="G197" i="5"/>
  <c r="F197" i="5"/>
  <c r="E197" i="5"/>
  <c r="D197" i="5"/>
  <c r="C197" i="5"/>
  <c r="B197" i="5"/>
  <c r="A197" i="5"/>
  <c r="C195" i="5"/>
  <c r="B195" i="5"/>
  <c r="M194" i="5"/>
  <c r="L194" i="5"/>
  <c r="K194" i="5"/>
  <c r="J194" i="5"/>
  <c r="I194" i="5"/>
  <c r="H194" i="5"/>
  <c r="G194" i="5"/>
  <c r="F194" i="5"/>
  <c r="E194" i="5"/>
  <c r="D194" i="5"/>
  <c r="C194" i="5"/>
  <c r="B194" i="5"/>
  <c r="A194" i="5"/>
  <c r="M193" i="5"/>
  <c r="L193" i="5"/>
  <c r="K193" i="5"/>
  <c r="J193" i="5"/>
  <c r="I193" i="5"/>
  <c r="H193" i="5"/>
  <c r="G193" i="5"/>
  <c r="F193" i="5"/>
  <c r="D193" i="5"/>
  <c r="C193" i="5"/>
  <c r="M192" i="5"/>
  <c r="L192" i="5"/>
  <c r="K192" i="5"/>
  <c r="J192" i="5"/>
  <c r="I192" i="5"/>
  <c r="H192" i="5"/>
  <c r="G192" i="5"/>
  <c r="F192" i="5"/>
  <c r="E192" i="5"/>
  <c r="D192" i="5"/>
  <c r="C192" i="5"/>
  <c r="B192" i="5"/>
  <c r="A192" i="5"/>
  <c r="M191" i="5"/>
  <c r="L191" i="5"/>
  <c r="K191" i="5"/>
  <c r="J191" i="5"/>
  <c r="I191" i="5"/>
  <c r="H191" i="5"/>
  <c r="G191" i="5"/>
  <c r="F191" i="5"/>
  <c r="D191" i="5"/>
  <c r="C191" i="5"/>
  <c r="M190" i="5"/>
  <c r="L190" i="5"/>
  <c r="K190" i="5"/>
  <c r="J190" i="5"/>
  <c r="I190" i="5"/>
  <c r="H190" i="5"/>
  <c r="G190" i="5"/>
  <c r="F190" i="5"/>
  <c r="E190" i="5"/>
  <c r="D190" i="5"/>
  <c r="C190" i="5"/>
  <c r="B190" i="5"/>
  <c r="A190" i="5"/>
  <c r="M189" i="5"/>
  <c r="L189" i="5"/>
  <c r="K189" i="5"/>
  <c r="J189" i="5"/>
  <c r="I189" i="5"/>
  <c r="H189" i="5"/>
  <c r="G189" i="5"/>
  <c r="F189" i="5"/>
  <c r="D189" i="5"/>
  <c r="C189" i="5"/>
  <c r="M188" i="5"/>
  <c r="L188" i="5"/>
  <c r="K188" i="5"/>
  <c r="J188" i="5"/>
  <c r="I188" i="5"/>
  <c r="H188" i="5"/>
  <c r="G188" i="5"/>
  <c r="F188" i="5"/>
  <c r="E188" i="5"/>
  <c r="D188" i="5"/>
  <c r="C188" i="5"/>
  <c r="B188" i="5"/>
  <c r="A188" i="5"/>
  <c r="M187" i="5"/>
  <c r="L187" i="5"/>
  <c r="K187" i="5"/>
  <c r="J187" i="5"/>
  <c r="I187" i="5"/>
  <c r="H187" i="5"/>
  <c r="G187" i="5"/>
  <c r="F187" i="5"/>
  <c r="D187" i="5"/>
  <c r="C187" i="5"/>
  <c r="M186" i="5"/>
  <c r="L186" i="5"/>
  <c r="K186" i="5"/>
  <c r="J186" i="5"/>
  <c r="I186" i="5"/>
  <c r="H186" i="5"/>
  <c r="G186" i="5"/>
  <c r="F186" i="5"/>
  <c r="E186" i="5"/>
  <c r="D186" i="5"/>
  <c r="C186" i="5"/>
  <c r="B186" i="5"/>
  <c r="A186" i="5"/>
  <c r="K185" i="5"/>
  <c r="J185" i="5"/>
  <c r="I185" i="5"/>
  <c r="G185" i="5"/>
  <c r="M184" i="5"/>
  <c r="L184" i="5"/>
  <c r="K184" i="5"/>
  <c r="J184" i="5"/>
  <c r="I184" i="5"/>
  <c r="H184" i="5"/>
  <c r="F184" i="5"/>
  <c r="E184" i="5"/>
  <c r="M183" i="5"/>
  <c r="L183" i="5"/>
  <c r="K183" i="5"/>
  <c r="J183" i="5"/>
  <c r="I183" i="5"/>
  <c r="H183" i="5"/>
  <c r="G183" i="5"/>
  <c r="F183" i="5"/>
  <c r="E183" i="5"/>
  <c r="D183" i="5"/>
  <c r="C183" i="5"/>
  <c r="B183" i="5"/>
  <c r="A183" i="5"/>
  <c r="C181" i="5"/>
  <c r="B181" i="5"/>
  <c r="M179" i="5"/>
  <c r="L179" i="5"/>
  <c r="K179" i="5"/>
  <c r="J179" i="5"/>
  <c r="I179" i="5"/>
  <c r="H179" i="5"/>
  <c r="G179" i="5"/>
  <c r="F179" i="5"/>
  <c r="D179" i="5"/>
  <c r="C179" i="5"/>
  <c r="M178" i="5"/>
  <c r="L178" i="5"/>
  <c r="K178" i="5"/>
  <c r="J178" i="5"/>
  <c r="I178" i="5"/>
  <c r="H178" i="5"/>
  <c r="G178" i="5"/>
  <c r="F178" i="5"/>
  <c r="E178" i="5"/>
  <c r="D178" i="5"/>
  <c r="C178" i="5"/>
  <c r="B178" i="5"/>
  <c r="A178" i="5"/>
  <c r="K177" i="5"/>
  <c r="J177" i="5"/>
  <c r="I177" i="5"/>
  <c r="G177" i="5"/>
  <c r="M176" i="5"/>
  <c r="L176" i="5"/>
  <c r="K176" i="5"/>
  <c r="J176" i="5"/>
  <c r="I176" i="5"/>
  <c r="H176" i="5"/>
  <c r="F176" i="5"/>
  <c r="E176" i="5"/>
  <c r="M175" i="5"/>
  <c r="L175" i="5"/>
  <c r="K175" i="5"/>
  <c r="J175" i="5"/>
  <c r="I175" i="5"/>
  <c r="H175" i="5"/>
  <c r="G175" i="5"/>
  <c r="F175" i="5"/>
  <c r="E175" i="5"/>
  <c r="D175" i="5"/>
  <c r="C175" i="5"/>
  <c r="B175" i="5"/>
  <c r="A175" i="5"/>
  <c r="C173" i="5"/>
  <c r="B173" i="5"/>
  <c r="M171" i="5"/>
  <c r="L171" i="5"/>
  <c r="K171" i="5"/>
  <c r="J171" i="5"/>
  <c r="I171" i="5"/>
  <c r="H171" i="5"/>
  <c r="G171" i="5"/>
  <c r="F171" i="5"/>
  <c r="E171" i="5"/>
  <c r="D171" i="5"/>
  <c r="C171" i="5"/>
  <c r="B171" i="5"/>
  <c r="A171" i="5"/>
  <c r="M170" i="5"/>
  <c r="L170" i="5"/>
  <c r="K170" i="5"/>
  <c r="J170" i="5"/>
  <c r="I170" i="5"/>
  <c r="H170" i="5"/>
  <c r="G170" i="5"/>
  <c r="F170" i="5"/>
  <c r="D170" i="5"/>
  <c r="C170" i="5"/>
  <c r="M169" i="5"/>
  <c r="L169" i="5"/>
  <c r="K169" i="5"/>
  <c r="J169" i="5"/>
  <c r="I169" i="5"/>
  <c r="H169" i="5"/>
  <c r="G169" i="5"/>
  <c r="F169" i="5"/>
  <c r="E169" i="5"/>
  <c r="D169" i="5"/>
  <c r="C169" i="5"/>
  <c r="B169" i="5"/>
  <c r="A169" i="5"/>
  <c r="M168" i="5"/>
  <c r="L168" i="5"/>
  <c r="K168" i="5"/>
  <c r="J168" i="5"/>
  <c r="I168" i="5"/>
  <c r="H168" i="5"/>
  <c r="G168" i="5"/>
  <c r="F168" i="5"/>
  <c r="D168" i="5"/>
  <c r="C168" i="5"/>
  <c r="M167" i="5"/>
  <c r="L167" i="5"/>
  <c r="K167" i="5"/>
  <c r="J167" i="5"/>
  <c r="I167" i="5"/>
  <c r="H167" i="5"/>
  <c r="G167" i="5"/>
  <c r="F167" i="5"/>
  <c r="E167" i="5"/>
  <c r="D167" i="5"/>
  <c r="C167" i="5"/>
  <c r="B167" i="5"/>
  <c r="A167" i="5"/>
  <c r="K166" i="5"/>
  <c r="J166" i="5"/>
  <c r="I166" i="5"/>
  <c r="G166" i="5"/>
  <c r="M165" i="5"/>
  <c r="L165" i="5"/>
  <c r="K165" i="5"/>
  <c r="J165" i="5"/>
  <c r="I165" i="5"/>
  <c r="H165" i="5"/>
  <c r="F165" i="5"/>
  <c r="E165" i="5"/>
  <c r="M164" i="5"/>
  <c r="L164" i="5"/>
  <c r="K164" i="5"/>
  <c r="J164" i="5"/>
  <c r="I164" i="5"/>
  <c r="H164" i="5"/>
  <c r="G164" i="5"/>
  <c r="F164" i="5"/>
  <c r="E164" i="5"/>
  <c r="D164" i="5"/>
  <c r="C164" i="5"/>
  <c r="B164" i="5"/>
  <c r="A164" i="5"/>
  <c r="C162" i="5"/>
  <c r="B162" i="5"/>
  <c r="M161" i="5"/>
  <c r="L161" i="5"/>
  <c r="K161" i="5"/>
  <c r="J161" i="5"/>
  <c r="I161" i="5"/>
  <c r="H161" i="5"/>
  <c r="G161" i="5"/>
  <c r="F161" i="5"/>
  <c r="D161" i="5"/>
  <c r="C161" i="5"/>
  <c r="M160" i="5"/>
  <c r="L160" i="5"/>
  <c r="K160" i="5"/>
  <c r="J160" i="5"/>
  <c r="I160" i="5"/>
  <c r="H160" i="5"/>
  <c r="G160" i="5"/>
  <c r="F160" i="5"/>
  <c r="E160" i="5"/>
  <c r="D160" i="5"/>
  <c r="C160" i="5"/>
  <c r="B160" i="5"/>
  <c r="A160" i="5"/>
  <c r="M159" i="5"/>
  <c r="L159" i="5"/>
  <c r="K159" i="5"/>
  <c r="J159" i="5"/>
  <c r="I159" i="5"/>
  <c r="H159" i="5"/>
  <c r="G159" i="5"/>
  <c r="F159" i="5"/>
  <c r="D159" i="5"/>
  <c r="C159" i="5"/>
  <c r="M158" i="5"/>
  <c r="L158" i="5"/>
  <c r="K158" i="5"/>
  <c r="J158" i="5"/>
  <c r="I158" i="5"/>
  <c r="H158" i="5"/>
  <c r="G158" i="5"/>
  <c r="F158" i="5"/>
  <c r="E158" i="5"/>
  <c r="D158" i="5"/>
  <c r="C158" i="5"/>
  <c r="B158" i="5"/>
  <c r="A158" i="5"/>
  <c r="M157" i="5"/>
  <c r="L157" i="5"/>
  <c r="K157" i="5"/>
  <c r="J157" i="5"/>
  <c r="I157" i="5"/>
  <c r="H157" i="5"/>
  <c r="G157" i="5"/>
  <c r="F157" i="5"/>
  <c r="D157" i="5"/>
  <c r="C157" i="5"/>
  <c r="M156" i="5"/>
  <c r="L156" i="5"/>
  <c r="K156" i="5"/>
  <c r="J156" i="5"/>
  <c r="I156" i="5"/>
  <c r="H156" i="5"/>
  <c r="G156" i="5"/>
  <c r="F156" i="5"/>
  <c r="E156" i="5"/>
  <c r="D156" i="5"/>
  <c r="C156" i="5"/>
  <c r="B156" i="5"/>
  <c r="A156" i="5"/>
  <c r="M155" i="5"/>
  <c r="L155" i="5"/>
  <c r="K155" i="5"/>
  <c r="J155" i="5"/>
  <c r="I155" i="5"/>
  <c r="H155" i="5"/>
  <c r="G155" i="5"/>
  <c r="F155" i="5"/>
  <c r="D155" i="5"/>
  <c r="C155" i="5"/>
  <c r="M154" i="5"/>
  <c r="L154" i="5"/>
  <c r="K154" i="5"/>
  <c r="J154" i="5"/>
  <c r="I154" i="5"/>
  <c r="H154" i="5"/>
  <c r="G154" i="5"/>
  <c r="F154" i="5"/>
  <c r="E154" i="5"/>
  <c r="D154" i="5"/>
  <c r="C154" i="5"/>
  <c r="B154" i="5"/>
  <c r="A154" i="5"/>
  <c r="M153" i="5"/>
  <c r="L153" i="5"/>
  <c r="K153" i="5"/>
  <c r="J153" i="5"/>
  <c r="I153" i="5"/>
  <c r="H153" i="5"/>
  <c r="G153" i="5"/>
  <c r="F153" i="5"/>
  <c r="D153" i="5"/>
  <c r="C153" i="5"/>
  <c r="M152" i="5"/>
  <c r="L152" i="5"/>
  <c r="K152" i="5"/>
  <c r="J152" i="5"/>
  <c r="I152" i="5"/>
  <c r="H152" i="5"/>
  <c r="G152" i="5"/>
  <c r="F152" i="5"/>
  <c r="E152" i="5"/>
  <c r="D152" i="5"/>
  <c r="C152" i="5"/>
  <c r="B152" i="5"/>
  <c r="A152" i="5"/>
  <c r="K151" i="5"/>
  <c r="J151" i="5"/>
  <c r="I151" i="5"/>
  <c r="G151" i="5"/>
  <c r="M150" i="5"/>
  <c r="L150" i="5"/>
  <c r="K150" i="5"/>
  <c r="J150" i="5"/>
  <c r="I150" i="5"/>
  <c r="H150" i="5"/>
  <c r="F150" i="5"/>
  <c r="E150" i="5"/>
  <c r="M149" i="5"/>
  <c r="L149" i="5"/>
  <c r="K149" i="5"/>
  <c r="J149" i="5"/>
  <c r="I149" i="5"/>
  <c r="H149" i="5"/>
  <c r="G149" i="5"/>
  <c r="F149" i="5"/>
  <c r="E149" i="5"/>
  <c r="D149" i="5"/>
  <c r="C149" i="5"/>
  <c r="B149" i="5"/>
  <c r="A149" i="5"/>
  <c r="C148" i="5"/>
  <c r="C147" i="5"/>
  <c r="B147" i="5"/>
  <c r="M142" i="5"/>
  <c r="L142" i="5"/>
  <c r="K142" i="5"/>
  <c r="J142" i="5"/>
  <c r="I142" i="5"/>
  <c r="H142" i="5"/>
  <c r="G142" i="5"/>
  <c r="F142" i="5"/>
  <c r="E142" i="5"/>
  <c r="D142" i="5"/>
  <c r="C142" i="5"/>
  <c r="B142" i="5"/>
  <c r="A142" i="5"/>
  <c r="M141" i="5"/>
  <c r="L141" i="5"/>
  <c r="K141" i="5"/>
  <c r="J141" i="5"/>
  <c r="I141" i="5"/>
  <c r="H141" i="5"/>
  <c r="G141" i="5"/>
  <c r="F141" i="5"/>
  <c r="E141" i="5"/>
  <c r="D141" i="5"/>
  <c r="C141" i="5"/>
  <c r="B141" i="5"/>
  <c r="A141" i="5"/>
  <c r="M140" i="5"/>
  <c r="L140" i="5"/>
  <c r="K140" i="5"/>
  <c r="J140" i="5"/>
  <c r="I140" i="5"/>
  <c r="H140" i="5"/>
  <c r="G140" i="5"/>
  <c r="F140" i="5"/>
  <c r="D140" i="5"/>
  <c r="C140" i="5"/>
  <c r="M139" i="5"/>
  <c r="L139" i="5"/>
  <c r="K139" i="5"/>
  <c r="J139" i="5"/>
  <c r="I139" i="5"/>
  <c r="H139" i="5"/>
  <c r="G139" i="5"/>
  <c r="F139" i="5"/>
  <c r="E139" i="5"/>
  <c r="D139" i="5"/>
  <c r="C139" i="5"/>
  <c r="B139" i="5"/>
  <c r="A139" i="5"/>
  <c r="K138" i="5"/>
  <c r="J138" i="5"/>
  <c r="I138" i="5"/>
  <c r="G138" i="5"/>
  <c r="M137" i="5"/>
  <c r="L137" i="5"/>
  <c r="K137" i="5"/>
  <c r="J137" i="5"/>
  <c r="I137" i="5"/>
  <c r="H137" i="5"/>
  <c r="F137" i="5"/>
  <c r="E137" i="5"/>
  <c r="M136" i="5"/>
  <c r="L136" i="5"/>
  <c r="K136" i="5"/>
  <c r="J136" i="5"/>
  <c r="I136" i="5"/>
  <c r="H136" i="5"/>
  <c r="G136" i="5"/>
  <c r="F136" i="5"/>
  <c r="E136" i="5"/>
  <c r="D136" i="5"/>
  <c r="C136" i="5"/>
  <c r="B136" i="5"/>
  <c r="A136" i="5"/>
  <c r="C135" i="5"/>
  <c r="B135" i="5"/>
  <c r="M132" i="5"/>
  <c r="L132" i="5"/>
  <c r="K132" i="5"/>
  <c r="J132" i="5"/>
  <c r="I132" i="5"/>
  <c r="H132" i="5"/>
  <c r="G132" i="5"/>
  <c r="F132" i="5"/>
  <c r="E132" i="5"/>
  <c r="D132" i="5"/>
  <c r="C132" i="5"/>
  <c r="B132" i="5"/>
  <c r="A132" i="5"/>
  <c r="M131" i="5"/>
  <c r="L131" i="5"/>
  <c r="K131" i="5"/>
  <c r="J131" i="5"/>
  <c r="I131" i="5"/>
  <c r="H131" i="5"/>
  <c r="G131" i="5"/>
  <c r="F131" i="5"/>
  <c r="D131" i="5"/>
  <c r="C131" i="5"/>
  <c r="M130" i="5"/>
  <c r="L130" i="5"/>
  <c r="K130" i="5"/>
  <c r="J130" i="5"/>
  <c r="I130" i="5"/>
  <c r="H130" i="5"/>
  <c r="G130" i="5"/>
  <c r="F130" i="5"/>
  <c r="E130" i="5"/>
  <c r="D130" i="5"/>
  <c r="C130" i="5"/>
  <c r="B130" i="5"/>
  <c r="A130" i="5"/>
  <c r="M129" i="5"/>
  <c r="L129" i="5"/>
  <c r="K129" i="5"/>
  <c r="J129" i="5"/>
  <c r="I129" i="5"/>
  <c r="H129" i="5"/>
  <c r="G129" i="5"/>
  <c r="F129" i="5"/>
  <c r="D129" i="5"/>
  <c r="C129" i="5"/>
  <c r="M128" i="5"/>
  <c r="L128" i="5"/>
  <c r="K128" i="5"/>
  <c r="J128" i="5"/>
  <c r="I128" i="5"/>
  <c r="H128" i="5"/>
  <c r="G128" i="5"/>
  <c r="F128" i="5"/>
  <c r="E128" i="5"/>
  <c r="D128" i="5"/>
  <c r="C128" i="5"/>
  <c r="B128" i="5"/>
  <c r="A128" i="5"/>
  <c r="M127" i="5"/>
  <c r="L127" i="5"/>
  <c r="K127" i="5"/>
  <c r="J127" i="5"/>
  <c r="I127" i="5"/>
  <c r="H127" i="5"/>
  <c r="G127" i="5"/>
  <c r="F127" i="5"/>
  <c r="D127" i="5"/>
  <c r="C127" i="5"/>
  <c r="M126" i="5"/>
  <c r="L126" i="5"/>
  <c r="K126" i="5"/>
  <c r="J126" i="5"/>
  <c r="I126" i="5"/>
  <c r="H126" i="5"/>
  <c r="G126" i="5"/>
  <c r="F126" i="5"/>
  <c r="E126" i="5"/>
  <c r="D126" i="5"/>
  <c r="C126" i="5"/>
  <c r="B126" i="5"/>
  <c r="A126" i="5"/>
  <c r="K125" i="5"/>
  <c r="J125" i="5"/>
  <c r="I125" i="5"/>
  <c r="G125" i="5"/>
  <c r="M124" i="5"/>
  <c r="L124" i="5"/>
  <c r="K124" i="5"/>
  <c r="J124" i="5"/>
  <c r="I124" i="5"/>
  <c r="H124" i="5"/>
  <c r="F124" i="5"/>
  <c r="E124" i="5"/>
  <c r="M123" i="5"/>
  <c r="L123" i="5"/>
  <c r="K123" i="5"/>
  <c r="J123" i="5"/>
  <c r="I123" i="5"/>
  <c r="H123" i="5"/>
  <c r="G123" i="5"/>
  <c r="F123" i="5"/>
  <c r="E123" i="5"/>
  <c r="D123" i="5"/>
  <c r="C123" i="5"/>
  <c r="B123" i="5"/>
  <c r="A123" i="5"/>
  <c r="C121" i="5"/>
  <c r="B121" i="5"/>
  <c r="M117" i="5"/>
  <c r="L117" i="5"/>
  <c r="K117" i="5"/>
  <c r="J117" i="5"/>
  <c r="I117" i="5"/>
  <c r="H117" i="5"/>
  <c r="G117" i="5"/>
  <c r="F117" i="5"/>
  <c r="D117" i="5"/>
  <c r="C117" i="5"/>
  <c r="M116" i="5"/>
  <c r="L116" i="5"/>
  <c r="K116" i="5"/>
  <c r="J116" i="5"/>
  <c r="I116" i="5"/>
  <c r="H116" i="5"/>
  <c r="G116" i="5"/>
  <c r="F116" i="5"/>
  <c r="E116" i="5"/>
  <c r="D116" i="5"/>
  <c r="C116" i="5"/>
  <c r="B116" i="5"/>
  <c r="A116" i="5"/>
  <c r="M115" i="5"/>
  <c r="L115" i="5"/>
  <c r="K115" i="5"/>
  <c r="J115" i="5"/>
  <c r="I115" i="5"/>
  <c r="H115" i="5"/>
  <c r="G115" i="5"/>
  <c r="F115" i="5"/>
  <c r="D115" i="5"/>
  <c r="C115" i="5"/>
  <c r="M114" i="5"/>
  <c r="L114" i="5"/>
  <c r="K114" i="5"/>
  <c r="J114" i="5"/>
  <c r="I114" i="5"/>
  <c r="H114" i="5"/>
  <c r="G114" i="5"/>
  <c r="F114" i="5"/>
  <c r="E114" i="5"/>
  <c r="D114" i="5"/>
  <c r="C114" i="5"/>
  <c r="B114" i="5"/>
  <c r="A114" i="5"/>
  <c r="K113" i="5"/>
  <c r="J113" i="5"/>
  <c r="I113" i="5"/>
  <c r="G113" i="5"/>
  <c r="M112" i="5"/>
  <c r="L112" i="5"/>
  <c r="K112" i="5"/>
  <c r="J112" i="5"/>
  <c r="I112" i="5"/>
  <c r="H112" i="5"/>
  <c r="F112" i="5"/>
  <c r="E112" i="5"/>
  <c r="M111" i="5"/>
  <c r="L111" i="5"/>
  <c r="K111" i="5"/>
  <c r="J111" i="5"/>
  <c r="I111" i="5"/>
  <c r="H111" i="5"/>
  <c r="G111" i="5"/>
  <c r="F111" i="5"/>
  <c r="E111" i="5"/>
  <c r="D111" i="5"/>
  <c r="C111" i="5"/>
  <c r="B111" i="5"/>
  <c r="A111" i="5"/>
  <c r="C109" i="5"/>
  <c r="B109" i="5"/>
  <c r="M105" i="5"/>
  <c r="L105" i="5"/>
  <c r="K105" i="5"/>
  <c r="J105" i="5"/>
  <c r="I105" i="5"/>
  <c r="H105" i="5"/>
  <c r="G105" i="5"/>
  <c r="F105" i="5"/>
  <c r="D105" i="5"/>
  <c r="C105" i="5"/>
  <c r="M104" i="5"/>
  <c r="L104" i="5"/>
  <c r="K104" i="5"/>
  <c r="J104" i="5"/>
  <c r="I104" i="5"/>
  <c r="H104" i="5"/>
  <c r="G104" i="5"/>
  <c r="F104" i="5"/>
  <c r="E104" i="5"/>
  <c r="D104" i="5"/>
  <c r="C104" i="5"/>
  <c r="B104" i="5"/>
  <c r="A104" i="5"/>
  <c r="M103" i="5"/>
  <c r="L103" i="5"/>
  <c r="K103" i="5"/>
  <c r="J103" i="5"/>
  <c r="I103" i="5"/>
  <c r="H103" i="5"/>
  <c r="G103" i="5"/>
  <c r="F103" i="5"/>
  <c r="D103" i="5"/>
  <c r="C103" i="5"/>
  <c r="M102" i="5"/>
  <c r="L102" i="5"/>
  <c r="K102" i="5"/>
  <c r="J102" i="5"/>
  <c r="I102" i="5"/>
  <c r="H102" i="5"/>
  <c r="G102" i="5"/>
  <c r="F102" i="5"/>
  <c r="E102" i="5"/>
  <c r="D102" i="5"/>
  <c r="C102" i="5"/>
  <c r="B102" i="5"/>
  <c r="A102" i="5"/>
  <c r="K101" i="5"/>
  <c r="J101" i="5"/>
  <c r="I101" i="5"/>
  <c r="G101" i="5"/>
  <c r="M100" i="5"/>
  <c r="L100" i="5"/>
  <c r="K100" i="5"/>
  <c r="J100" i="5"/>
  <c r="I100" i="5"/>
  <c r="H100" i="5"/>
  <c r="F100" i="5"/>
  <c r="E100" i="5"/>
  <c r="M99" i="5"/>
  <c r="L99" i="5"/>
  <c r="K99" i="5"/>
  <c r="J99" i="5"/>
  <c r="I99" i="5"/>
  <c r="H99" i="5"/>
  <c r="G99" i="5"/>
  <c r="F99" i="5"/>
  <c r="E99" i="5"/>
  <c r="D99" i="5"/>
  <c r="C99" i="5"/>
  <c r="B99" i="5"/>
  <c r="A99" i="5"/>
  <c r="C97" i="5"/>
  <c r="B97" i="5"/>
  <c r="M96" i="5"/>
  <c r="L96" i="5"/>
  <c r="K96" i="5"/>
  <c r="J96" i="5"/>
  <c r="I96" i="5"/>
  <c r="H96" i="5"/>
  <c r="G96" i="5"/>
  <c r="F96" i="5"/>
  <c r="E96" i="5"/>
  <c r="D96" i="5"/>
  <c r="C96" i="5"/>
  <c r="B96" i="5"/>
  <c r="A96" i="5"/>
  <c r="M95" i="5"/>
  <c r="L95" i="5"/>
  <c r="K95" i="5"/>
  <c r="J95" i="5"/>
  <c r="I95" i="5"/>
  <c r="H95" i="5"/>
  <c r="G95" i="5"/>
  <c r="F95" i="5"/>
  <c r="D95" i="5"/>
  <c r="C95" i="5"/>
  <c r="M94" i="5"/>
  <c r="L94" i="5"/>
  <c r="K94" i="5"/>
  <c r="J94" i="5"/>
  <c r="I94" i="5"/>
  <c r="H94" i="5"/>
  <c r="G94" i="5"/>
  <c r="F94" i="5"/>
  <c r="E94" i="5"/>
  <c r="D94" i="5"/>
  <c r="C94" i="5"/>
  <c r="B94" i="5"/>
  <c r="A94" i="5"/>
  <c r="M93" i="5"/>
  <c r="L93" i="5"/>
  <c r="K93" i="5"/>
  <c r="J93" i="5"/>
  <c r="I93" i="5"/>
  <c r="H93" i="5"/>
  <c r="G93" i="5"/>
  <c r="F93" i="5"/>
  <c r="D93" i="5"/>
  <c r="C93" i="5"/>
  <c r="M92" i="5"/>
  <c r="L92" i="5"/>
  <c r="K92" i="5"/>
  <c r="J92" i="5"/>
  <c r="I92" i="5"/>
  <c r="H92" i="5"/>
  <c r="G92" i="5"/>
  <c r="F92" i="5"/>
  <c r="E92" i="5"/>
  <c r="D92" i="5"/>
  <c r="C92" i="5"/>
  <c r="B92" i="5"/>
  <c r="A92" i="5"/>
  <c r="M91" i="5"/>
  <c r="L91" i="5"/>
  <c r="K91" i="5"/>
  <c r="J91" i="5"/>
  <c r="I91" i="5"/>
  <c r="H91" i="5"/>
  <c r="G91" i="5"/>
  <c r="F91" i="5"/>
  <c r="D91" i="5"/>
  <c r="C91" i="5"/>
  <c r="M90" i="5"/>
  <c r="L90" i="5"/>
  <c r="K90" i="5"/>
  <c r="J90" i="5"/>
  <c r="I90" i="5"/>
  <c r="H90" i="5"/>
  <c r="G90" i="5"/>
  <c r="F90" i="5"/>
  <c r="E90" i="5"/>
  <c r="D90" i="5"/>
  <c r="C90" i="5"/>
  <c r="B90" i="5"/>
  <c r="A90" i="5"/>
  <c r="K89" i="5"/>
  <c r="J89" i="5"/>
  <c r="I89" i="5"/>
  <c r="G89" i="5"/>
  <c r="M88" i="5"/>
  <c r="L88" i="5"/>
  <c r="K88" i="5"/>
  <c r="J88" i="5"/>
  <c r="I88" i="5"/>
  <c r="H88" i="5"/>
  <c r="F88" i="5"/>
  <c r="E88" i="5"/>
  <c r="M87" i="5"/>
  <c r="L87" i="5"/>
  <c r="K87" i="5"/>
  <c r="J87" i="5"/>
  <c r="I87" i="5"/>
  <c r="H87" i="5"/>
  <c r="G87" i="5"/>
  <c r="F87" i="5"/>
  <c r="E87" i="5"/>
  <c r="D87" i="5"/>
  <c r="C87" i="5"/>
  <c r="B87" i="5"/>
  <c r="A87" i="5"/>
  <c r="C85" i="5"/>
  <c r="B85" i="5"/>
  <c r="M84" i="5"/>
  <c r="L84" i="5"/>
  <c r="K84" i="5"/>
  <c r="J84" i="5"/>
  <c r="I84" i="5"/>
  <c r="H84" i="5"/>
  <c r="G84" i="5"/>
  <c r="F84" i="5"/>
  <c r="E84" i="5"/>
  <c r="D84" i="5"/>
  <c r="C84" i="5"/>
  <c r="B84" i="5"/>
  <c r="A84" i="5"/>
  <c r="M83" i="5"/>
  <c r="L83" i="5"/>
  <c r="K83" i="5"/>
  <c r="J83" i="5"/>
  <c r="I83" i="5"/>
  <c r="H83" i="5"/>
  <c r="G83" i="5"/>
  <c r="F83" i="5"/>
  <c r="E83" i="5"/>
  <c r="D83" i="5"/>
  <c r="C83" i="5"/>
  <c r="B83" i="5"/>
  <c r="A83" i="5"/>
  <c r="M82" i="5"/>
  <c r="L82" i="5"/>
  <c r="K82" i="5"/>
  <c r="J82" i="5"/>
  <c r="I82" i="5"/>
  <c r="H82" i="5"/>
  <c r="G82" i="5"/>
  <c r="F82" i="5"/>
  <c r="D82" i="5"/>
  <c r="C82" i="5"/>
  <c r="M81" i="5"/>
  <c r="L81" i="5"/>
  <c r="K81" i="5"/>
  <c r="J81" i="5"/>
  <c r="I81" i="5"/>
  <c r="H81" i="5"/>
  <c r="G81" i="5"/>
  <c r="F81" i="5"/>
  <c r="E81" i="5"/>
  <c r="D81" i="5"/>
  <c r="C81" i="5"/>
  <c r="B81" i="5"/>
  <c r="A81" i="5"/>
  <c r="M80" i="5"/>
  <c r="L80" i="5"/>
  <c r="K80" i="5"/>
  <c r="J80" i="5"/>
  <c r="I80" i="5"/>
  <c r="H80" i="5"/>
  <c r="G80" i="5"/>
  <c r="F80" i="5"/>
  <c r="D80" i="5"/>
  <c r="C80" i="5"/>
  <c r="M79" i="5"/>
  <c r="L79" i="5"/>
  <c r="K79" i="5"/>
  <c r="J79" i="5"/>
  <c r="I79" i="5"/>
  <c r="H79" i="5"/>
  <c r="G79" i="5"/>
  <c r="F79" i="5"/>
  <c r="E79" i="5"/>
  <c r="D79" i="5"/>
  <c r="C79" i="5"/>
  <c r="B79" i="5"/>
  <c r="A79" i="5"/>
  <c r="M78" i="5"/>
  <c r="L78" i="5"/>
  <c r="K78" i="5"/>
  <c r="J78" i="5"/>
  <c r="I78" i="5"/>
  <c r="H78" i="5"/>
  <c r="G78" i="5"/>
  <c r="F78" i="5"/>
  <c r="D78" i="5"/>
  <c r="C78" i="5"/>
  <c r="M77" i="5"/>
  <c r="L77" i="5"/>
  <c r="K77" i="5"/>
  <c r="J77" i="5"/>
  <c r="I77" i="5"/>
  <c r="H77" i="5"/>
  <c r="G77" i="5"/>
  <c r="F77" i="5"/>
  <c r="E77" i="5"/>
  <c r="D77" i="5"/>
  <c r="C77" i="5"/>
  <c r="B77" i="5"/>
  <c r="A77" i="5"/>
  <c r="K76" i="5"/>
  <c r="J76" i="5"/>
  <c r="I76" i="5"/>
  <c r="G76" i="5"/>
  <c r="M75" i="5"/>
  <c r="L75" i="5"/>
  <c r="K75" i="5"/>
  <c r="J75" i="5"/>
  <c r="I75" i="5"/>
  <c r="H75" i="5"/>
  <c r="F75" i="5"/>
  <c r="E75" i="5"/>
  <c r="M74" i="5"/>
  <c r="L74" i="5"/>
  <c r="K74" i="5"/>
  <c r="J74" i="5"/>
  <c r="I74" i="5"/>
  <c r="H74" i="5"/>
  <c r="G74" i="5"/>
  <c r="F74" i="5"/>
  <c r="E74" i="5"/>
  <c r="D74" i="5"/>
  <c r="C74" i="5"/>
  <c r="B74" i="5"/>
  <c r="A74" i="5"/>
  <c r="C72" i="5"/>
  <c r="B72" i="5"/>
  <c r="M70" i="5"/>
  <c r="L70" i="5"/>
  <c r="K70" i="5"/>
  <c r="J70" i="5"/>
  <c r="I70" i="5"/>
  <c r="H70" i="5"/>
  <c r="G70" i="5"/>
  <c r="F70" i="5"/>
  <c r="D70" i="5"/>
  <c r="C70" i="5"/>
  <c r="M69" i="5"/>
  <c r="L69" i="5"/>
  <c r="K69" i="5"/>
  <c r="J69" i="5"/>
  <c r="I69" i="5"/>
  <c r="H69" i="5"/>
  <c r="G69" i="5"/>
  <c r="F69" i="5"/>
  <c r="E69" i="5"/>
  <c r="D69" i="5"/>
  <c r="C69" i="5"/>
  <c r="B69" i="5"/>
  <c r="A69" i="5"/>
  <c r="M68" i="5"/>
  <c r="L68" i="5"/>
  <c r="K68" i="5"/>
  <c r="J68" i="5"/>
  <c r="I68" i="5"/>
  <c r="H68" i="5"/>
  <c r="G68" i="5"/>
  <c r="F68" i="5"/>
  <c r="D68" i="5"/>
  <c r="C68" i="5"/>
  <c r="M67" i="5"/>
  <c r="L67" i="5"/>
  <c r="K67" i="5"/>
  <c r="J67" i="5"/>
  <c r="I67" i="5"/>
  <c r="H67" i="5"/>
  <c r="G67" i="5"/>
  <c r="F67" i="5"/>
  <c r="E67" i="5"/>
  <c r="D67" i="5"/>
  <c r="C67" i="5"/>
  <c r="B67" i="5"/>
  <c r="A67" i="5"/>
  <c r="M66" i="5"/>
  <c r="L66" i="5"/>
  <c r="K66" i="5"/>
  <c r="J66" i="5"/>
  <c r="I66" i="5"/>
  <c r="H66" i="5"/>
  <c r="G66" i="5"/>
  <c r="F66" i="5"/>
  <c r="D66" i="5"/>
  <c r="C66" i="5"/>
  <c r="M65" i="5"/>
  <c r="L65" i="5"/>
  <c r="K65" i="5"/>
  <c r="J65" i="5"/>
  <c r="I65" i="5"/>
  <c r="H65" i="5"/>
  <c r="G65" i="5"/>
  <c r="F65" i="5"/>
  <c r="E65" i="5"/>
  <c r="D65" i="5"/>
  <c r="C65" i="5"/>
  <c r="B65" i="5"/>
  <c r="A65" i="5"/>
  <c r="K64" i="5"/>
  <c r="J64" i="5"/>
  <c r="I64" i="5"/>
  <c r="G64" i="5"/>
  <c r="M63" i="5"/>
  <c r="L63" i="5"/>
  <c r="K63" i="5"/>
  <c r="J63" i="5"/>
  <c r="I63" i="5"/>
  <c r="H63" i="5"/>
  <c r="F63" i="5"/>
  <c r="E63" i="5"/>
  <c r="M62" i="5"/>
  <c r="L62" i="5"/>
  <c r="K62" i="5"/>
  <c r="J62" i="5"/>
  <c r="I62" i="5"/>
  <c r="H62" i="5"/>
  <c r="G62" i="5"/>
  <c r="F62" i="5"/>
  <c r="E62" i="5"/>
  <c r="D62" i="5"/>
  <c r="C62" i="5"/>
  <c r="B62" i="5"/>
  <c r="A62" i="5"/>
  <c r="C61" i="5"/>
  <c r="C60" i="5"/>
  <c r="B60" i="5"/>
  <c r="M54" i="5"/>
  <c r="L54" i="5"/>
  <c r="K54" i="5"/>
  <c r="J54" i="5"/>
  <c r="I54" i="5"/>
  <c r="H54" i="5"/>
  <c r="G54" i="5"/>
  <c r="F54" i="5"/>
  <c r="D54" i="5"/>
  <c r="C54" i="5"/>
  <c r="M53" i="5"/>
  <c r="L53" i="5"/>
  <c r="K53" i="5"/>
  <c r="J53" i="5"/>
  <c r="I53" i="5"/>
  <c r="H53" i="5"/>
  <c r="G53" i="5"/>
  <c r="F53" i="5"/>
  <c r="E53" i="5"/>
  <c r="D53" i="5"/>
  <c r="C53" i="5"/>
  <c r="B53" i="5"/>
  <c r="A53" i="5"/>
  <c r="K52" i="5"/>
  <c r="J52" i="5"/>
  <c r="I52" i="5"/>
  <c r="G52" i="5"/>
  <c r="M51" i="5"/>
  <c r="L51" i="5"/>
  <c r="K51" i="5"/>
  <c r="J51" i="5"/>
  <c r="I51" i="5"/>
  <c r="H51" i="5"/>
  <c r="F51" i="5"/>
  <c r="E51" i="5"/>
  <c r="M50" i="5"/>
  <c r="L50" i="5"/>
  <c r="K50" i="5"/>
  <c r="J50" i="5"/>
  <c r="I50" i="5"/>
  <c r="H50" i="5"/>
  <c r="G50" i="5"/>
  <c r="F50" i="5"/>
  <c r="E50" i="5"/>
  <c r="D50" i="5"/>
  <c r="C50" i="5"/>
  <c r="B50" i="5"/>
  <c r="A50" i="5"/>
  <c r="C49" i="5"/>
  <c r="C48" i="5"/>
  <c r="B48" i="5"/>
  <c r="M46" i="5"/>
  <c r="L46" i="5"/>
  <c r="K46" i="5"/>
  <c r="J46" i="5"/>
  <c r="I46" i="5"/>
  <c r="H46" i="5"/>
  <c r="G46" i="5"/>
  <c r="F46" i="5"/>
  <c r="D46" i="5"/>
  <c r="C46" i="5"/>
  <c r="M45" i="5"/>
  <c r="L45" i="5"/>
  <c r="K45" i="5"/>
  <c r="J45" i="5"/>
  <c r="I45" i="5"/>
  <c r="H45" i="5"/>
  <c r="G45" i="5"/>
  <c r="F45" i="5"/>
  <c r="E45" i="5"/>
  <c r="D45" i="5"/>
  <c r="C45" i="5"/>
  <c r="B45" i="5"/>
  <c r="A45" i="5"/>
  <c r="M44" i="5"/>
  <c r="L44" i="5"/>
  <c r="K44" i="5"/>
  <c r="J44" i="5"/>
  <c r="I44" i="5"/>
  <c r="H44" i="5"/>
  <c r="G44" i="5"/>
  <c r="F44" i="5"/>
  <c r="E44" i="5"/>
  <c r="D44" i="5"/>
  <c r="C44" i="5"/>
  <c r="B44" i="5"/>
  <c r="A44" i="5"/>
  <c r="M43" i="5"/>
  <c r="L43" i="5"/>
  <c r="K43" i="5"/>
  <c r="J43" i="5"/>
  <c r="I43" i="5"/>
  <c r="H43" i="5"/>
  <c r="G43" i="5"/>
  <c r="F43" i="5"/>
  <c r="D43" i="5"/>
  <c r="C43" i="5"/>
  <c r="M42" i="5"/>
  <c r="L42" i="5"/>
  <c r="K42" i="5"/>
  <c r="J42" i="5"/>
  <c r="I42" i="5"/>
  <c r="H42" i="5"/>
  <c r="G42" i="5"/>
  <c r="F42" i="5"/>
  <c r="E42" i="5"/>
  <c r="D42" i="5"/>
  <c r="C42" i="5"/>
  <c r="B42" i="5"/>
  <c r="A42" i="5"/>
  <c r="M41" i="5"/>
  <c r="L41" i="5"/>
  <c r="K41" i="5"/>
  <c r="J41" i="5"/>
  <c r="I41" i="5"/>
  <c r="H41" i="5"/>
  <c r="G41" i="5"/>
  <c r="F41" i="5"/>
  <c r="D41" i="5"/>
  <c r="C41" i="5"/>
  <c r="M40" i="5"/>
  <c r="L40" i="5"/>
  <c r="K40" i="5"/>
  <c r="J40" i="5"/>
  <c r="I40" i="5"/>
  <c r="H40" i="5"/>
  <c r="G40" i="5"/>
  <c r="F40" i="5"/>
  <c r="E40" i="5"/>
  <c r="D40" i="5"/>
  <c r="C40" i="5"/>
  <c r="B40" i="5"/>
  <c r="A40" i="5"/>
  <c r="M39" i="5"/>
  <c r="L39" i="5"/>
  <c r="K39" i="5"/>
  <c r="J39" i="5"/>
  <c r="I39" i="5"/>
  <c r="H39" i="5"/>
  <c r="G39" i="5"/>
  <c r="F39" i="5"/>
  <c r="D39" i="5"/>
  <c r="C39" i="5"/>
  <c r="M38" i="5"/>
  <c r="L38" i="5"/>
  <c r="K38" i="5"/>
  <c r="J38" i="5"/>
  <c r="I38" i="5"/>
  <c r="H38" i="5"/>
  <c r="G38" i="5"/>
  <c r="F38" i="5"/>
  <c r="E38" i="5"/>
  <c r="D38" i="5"/>
  <c r="C38" i="5"/>
  <c r="B38" i="5"/>
  <c r="A38" i="5"/>
  <c r="K37" i="5"/>
  <c r="J37" i="5"/>
  <c r="I37" i="5"/>
  <c r="G37" i="5"/>
  <c r="M36" i="5"/>
  <c r="L36" i="5"/>
  <c r="K36" i="5"/>
  <c r="J36" i="5"/>
  <c r="I36" i="5"/>
  <c r="H36" i="5"/>
  <c r="F36" i="5"/>
  <c r="E36" i="5"/>
  <c r="M35" i="5"/>
  <c r="L35" i="5"/>
  <c r="K35" i="5"/>
  <c r="J35" i="5"/>
  <c r="I35" i="5"/>
  <c r="H35" i="5"/>
  <c r="G35" i="5"/>
  <c r="F35" i="5"/>
  <c r="E35" i="5"/>
  <c r="D35" i="5"/>
  <c r="C35" i="5"/>
  <c r="B35" i="5"/>
  <c r="A35" i="5"/>
  <c r="C33" i="5"/>
  <c r="B33" i="5"/>
  <c r="M32" i="5"/>
  <c r="L32" i="5"/>
  <c r="K32" i="5"/>
  <c r="J32" i="5"/>
  <c r="I32" i="5"/>
  <c r="H32" i="5"/>
  <c r="G32" i="5"/>
  <c r="F32" i="5"/>
  <c r="D32" i="5"/>
  <c r="C32" i="5"/>
  <c r="M31" i="5"/>
  <c r="L31" i="5"/>
  <c r="K31" i="5"/>
  <c r="J31" i="5"/>
  <c r="I31" i="5"/>
  <c r="H31" i="5"/>
  <c r="G31" i="5"/>
  <c r="F31" i="5"/>
  <c r="E31" i="5"/>
  <c r="D31" i="5"/>
  <c r="C31" i="5"/>
  <c r="B31" i="5"/>
  <c r="A31" i="5"/>
  <c r="M30" i="5"/>
  <c r="L30" i="5"/>
  <c r="K30" i="5"/>
  <c r="J30" i="5"/>
  <c r="I30" i="5"/>
  <c r="H30" i="5"/>
  <c r="G30" i="5"/>
  <c r="F30" i="5"/>
  <c r="D30" i="5"/>
  <c r="C30" i="5"/>
  <c r="M29" i="5"/>
  <c r="L29" i="5"/>
  <c r="K29" i="5"/>
  <c r="J29" i="5"/>
  <c r="I29" i="5"/>
  <c r="H29" i="5"/>
  <c r="G29" i="5"/>
  <c r="F29" i="5"/>
  <c r="E29" i="5"/>
  <c r="D29" i="5"/>
  <c r="C29" i="5"/>
  <c r="B29" i="5"/>
  <c r="A29" i="5"/>
  <c r="M28" i="5"/>
  <c r="L28" i="5"/>
  <c r="K28" i="5"/>
  <c r="J28" i="5"/>
  <c r="I28" i="5"/>
  <c r="H28" i="5"/>
  <c r="G28" i="5"/>
  <c r="F28" i="5"/>
  <c r="D28" i="5"/>
  <c r="C28" i="5"/>
  <c r="M27" i="5"/>
  <c r="L27" i="5"/>
  <c r="K27" i="5"/>
  <c r="J27" i="5"/>
  <c r="I27" i="5"/>
  <c r="H27" i="5"/>
  <c r="G27" i="5"/>
  <c r="F27" i="5"/>
  <c r="E27" i="5"/>
  <c r="D27" i="5"/>
  <c r="C27" i="5"/>
  <c r="B27" i="5"/>
  <c r="A27" i="5"/>
  <c r="M26" i="5"/>
  <c r="L26" i="5"/>
  <c r="K26" i="5"/>
  <c r="J26" i="5"/>
  <c r="I26" i="5"/>
  <c r="H26" i="5"/>
  <c r="G26" i="5"/>
  <c r="F26" i="5"/>
  <c r="D26" i="5"/>
  <c r="C26" i="5"/>
  <c r="M25" i="5"/>
  <c r="L25" i="5"/>
  <c r="K25" i="5"/>
  <c r="J25" i="5"/>
  <c r="I25" i="5"/>
  <c r="H25" i="5"/>
  <c r="G25" i="5"/>
  <c r="F25" i="5"/>
  <c r="E25" i="5"/>
  <c r="D25" i="5"/>
  <c r="C25" i="5"/>
  <c r="B25" i="5"/>
  <c r="A25" i="5"/>
  <c r="M24" i="5"/>
  <c r="L24" i="5"/>
  <c r="K24" i="5"/>
  <c r="J24" i="5"/>
  <c r="I24" i="5"/>
  <c r="H24" i="5"/>
  <c r="G24" i="5"/>
  <c r="F24" i="5"/>
  <c r="D24" i="5"/>
  <c r="C24" i="5"/>
  <c r="M23" i="5"/>
  <c r="L23" i="5"/>
  <c r="K23" i="5"/>
  <c r="J23" i="5"/>
  <c r="I23" i="5"/>
  <c r="H23" i="5"/>
  <c r="G23" i="5"/>
  <c r="F23" i="5"/>
  <c r="E23" i="5"/>
  <c r="D23" i="5"/>
  <c r="C23" i="5"/>
  <c r="B23" i="5"/>
  <c r="A23" i="5"/>
  <c r="K22" i="5"/>
  <c r="J22" i="5"/>
  <c r="I22" i="5"/>
  <c r="G22" i="5"/>
  <c r="M21" i="5"/>
  <c r="L21" i="5"/>
  <c r="K21" i="5"/>
  <c r="J21" i="5"/>
  <c r="I21" i="5"/>
  <c r="H21" i="5"/>
  <c r="F21" i="5"/>
  <c r="E21" i="5"/>
  <c r="M20" i="5"/>
  <c r="L20" i="5"/>
  <c r="K20" i="5"/>
  <c r="J20" i="5"/>
  <c r="I20" i="5"/>
  <c r="H20" i="5"/>
  <c r="G20" i="5"/>
  <c r="F20" i="5"/>
  <c r="E20" i="5"/>
  <c r="D20" i="5"/>
  <c r="C20" i="5"/>
  <c r="B20" i="5"/>
  <c r="A20" i="5"/>
  <c r="C18" i="5"/>
  <c r="B18" i="5"/>
  <c r="M13" i="5"/>
  <c r="L13" i="5"/>
  <c r="K13" i="5"/>
  <c r="J13" i="5"/>
  <c r="I13" i="5"/>
  <c r="H13" i="5"/>
  <c r="G13" i="5"/>
  <c r="F13" i="5"/>
  <c r="D13" i="5"/>
  <c r="C13" i="5"/>
  <c r="M12" i="5"/>
  <c r="L12" i="5"/>
  <c r="K12" i="5"/>
  <c r="J12" i="5"/>
  <c r="I12" i="5"/>
  <c r="H12" i="5"/>
  <c r="G12" i="5"/>
  <c r="F12" i="5"/>
  <c r="E12" i="5"/>
  <c r="D12" i="5"/>
  <c r="C12" i="5"/>
  <c r="B12" i="5"/>
  <c r="A12" i="5"/>
  <c r="M11" i="5"/>
  <c r="L11" i="5"/>
  <c r="K11" i="5"/>
  <c r="J11" i="5"/>
  <c r="I11" i="5"/>
  <c r="H11" i="5"/>
  <c r="G11" i="5"/>
  <c r="F11" i="5"/>
  <c r="E11" i="5"/>
  <c r="D11" i="5"/>
  <c r="C11" i="5"/>
  <c r="B11" i="5"/>
  <c r="A11" i="5"/>
  <c r="K10" i="5"/>
  <c r="J10" i="5"/>
  <c r="I10" i="5"/>
  <c r="G10" i="5"/>
  <c r="M9" i="5"/>
  <c r="L9" i="5"/>
  <c r="K9" i="5"/>
  <c r="J9" i="5"/>
  <c r="I9" i="5"/>
  <c r="H9" i="5"/>
  <c r="F9" i="5"/>
  <c r="E9" i="5"/>
  <c r="M8" i="5"/>
  <c r="L8" i="5"/>
  <c r="K8" i="5"/>
  <c r="J8" i="5"/>
  <c r="I8" i="5"/>
  <c r="H8" i="5"/>
  <c r="G8" i="5"/>
  <c r="F8" i="5"/>
  <c r="E8" i="5"/>
  <c r="D8" i="5"/>
  <c r="C8" i="5"/>
  <c r="B8" i="5"/>
  <c r="A8" i="5"/>
  <c r="C7" i="5"/>
  <c r="C6" i="5"/>
  <c r="C5" i="5"/>
  <c r="C4" i="5"/>
  <c r="B4" i="5"/>
  <c r="K3" i="5"/>
  <c r="J3" i="5"/>
  <c r="I3" i="5"/>
  <c r="G3" i="5"/>
  <c r="M2" i="5"/>
  <c r="L2" i="5"/>
  <c r="K2" i="5"/>
  <c r="J2" i="5"/>
  <c r="I2" i="5"/>
  <c r="H2" i="5"/>
  <c r="F2" i="5"/>
  <c r="E2" i="5"/>
  <c r="M1" i="5"/>
  <c r="L1" i="5"/>
  <c r="K1" i="5"/>
  <c r="J1" i="5"/>
  <c r="I1" i="5"/>
  <c r="H1" i="5"/>
  <c r="G1" i="5"/>
  <c r="F1" i="5"/>
  <c r="E1" i="5"/>
  <c r="D1" i="5"/>
  <c r="C1" i="5"/>
  <c r="B1" i="5"/>
  <c r="A1" i="5"/>
  <c r="A1" i="3"/>
  <c r="X189" i="2"/>
  <c r="W189" i="2"/>
  <c r="S189" i="2"/>
  <c r="W188" i="2"/>
  <c r="V188" i="2"/>
  <c r="U188" i="2"/>
  <c r="T188" i="2"/>
  <c r="S188" i="2"/>
  <c r="R187" i="2"/>
  <c r="Q187" i="2"/>
  <c r="X186" i="2"/>
  <c r="W186" i="2"/>
  <c r="S186" i="2"/>
  <c r="W185" i="2"/>
  <c r="V185" i="2"/>
  <c r="U185" i="2"/>
  <c r="T185" i="2"/>
  <c r="S185" i="2"/>
  <c r="AA182" i="2"/>
  <c r="AC181" i="2"/>
  <c r="AB181" i="2"/>
  <c r="AA181" i="2"/>
  <c r="Z181" i="2"/>
  <c r="Y181" i="2"/>
  <c r="X180" i="2"/>
  <c r="W180" i="2"/>
  <c r="S180" i="2"/>
  <c r="AA179" i="2"/>
  <c r="V178" i="2"/>
  <c r="Q178" i="2"/>
  <c r="W177" i="2"/>
  <c r="V177" i="2"/>
  <c r="U177" i="2"/>
  <c r="T177" i="2"/>
  <c r="S177" i="2"/>
  <c r="X174" i="2"/>
  <c r="W174" i="2"/>
  <c r="S174" i="2"/>
  <c r="AA173" i="2"/>
  <c r="W172" i="2"/>
  <c r="V172" i="2"/>
  <c r="U172" i="2"/>
  <c r="T172" i="2"/>
  <c r="S172" i="2"/>
  <c r="X170" i="2"/>
  <c r="W170" i="2"/>
  <c r="S170" i="2"/>
  <c r="S169" i="2"/>
  <c r="R169" i="2"/>
  <c r="Q169" i="2"/>
  <c r="T169" i="2" s="1"/>
  <c r="W167" i="2"/>
  <c r="V167" i="2"/>
  <c r="U167" i="2"/>
  <c r="T167" i="2"/>
  <c r="S167" i="2"/>
  <c r="AC166" i="2"/>
  <c r="AB166" i="2"/>
  <c r="AA166" i="2"/>
  <c r="Z166" i="2"/>
  <c r="Y166" i="2"/>
  <c r="X165" i="2"/>
  <c r="W165" i="2"/>
  <c r="S165" i="2"/>
  <c r="R164" i="2"/>
  <c r="Q164" i="2"/>
  <c r="AC163" i="2"/>
  <c r="AB163" i="2"/>
  <c r="AA163" i="2"/>
  <c r="Z163" i="2"/>
  <c r="Y163" i="2"/>
  <c r="T162" i="2"/>
  <c r="S162" i="2"/>
  <c r="X161" i="2"/>
  <c r="W161" i="2"/>
  <c r="S161" i="2"/>
  <c r="W160" i="2"/>
  <c r="V160" i="2"/>
  <c r="U160" i="2"/>
  <c r="T160" i="2"/>
  <c r="S160" i="2"/>
  <c r="R159" i="2"/>
  <c r="Q159" i="2"/>
  <c r="AC158" i="2"/>
  <c r="AB158" i="2"/>
  <c r="AA158" i="2"/>
  <c r="Z158" i="2"/>
  <c r="AA157" i="2"/>
  <c r="X156" i="2"/>
  <c r="W156" i="2"/>
  <c r="S156" i="2"/>
  <c r="V155" i="2"/>
  <c r="U155" i="2"/>
  <c r="T155" i="2"/>
  <c r="S155" i="2"/>
  <c r="R154" i="2"/>
  <c r="Q154" i="2"/>
  <c r="R153" i="2"/>
  <c r="Q153" i="2"/>
  <c r="V152" i="2"/>
  <c r="U152" i="2"/>
  <c r="T152" i="2"/>
  <c r="S152" i="2"/>
  <c r="S151" i="2"/>
  <c r="R151" i="2"/>
  <c r="Q151" i="2"/>
  <c r="R150" i="2"/>
  <c r="Q150" i="2"/>
  <c r="W149" i="2"/>
  <c r="X149" i="2" s="1"/>
  <c r="S149" i="2"/>
  <c r="R147" i="2"/>
  <c r="Q147" i="2"/>
  <c r="V146" i="2"/>
  <c r="U146" i="2"/>
  <c r="T146" i="2"/>
  <c r="S146" i="2"/>
  <c r="AC145" i="2"/>
  <c r="AB145" i="2"/>
  <c r="AA145" i="2"/>
  <c r="Z145" i="2"/>
  <c r="Y145" i="2"/>
  <c r="X144" i="2"/>
  <c r="W144" i="2"/>
  <c r="S144" i="2"/>
  <c r="R143" i="2"/>
  <c r="Q143" i="2"/>
  <c r="W142" i="2"/>
  <c r="V142" i="2"/>
  <c r="U142" i="2"/>
  <c r="T142" i="2"/>
  <c r="S142" i="2"/>
  <c r="V141" i="2"/>
  <c r="S141" i="2"/>
  <c r="Q141" i="2"/>
  <c r="AC140" i="2"/>
  <c r="AB140" i="2"/>
  <c r="AA140" i="2"/>
  <c r="Z140" i="2"/>
  <c r="Y140" i="2"/>
  <c r="X139" i="2"/>
  <c r="W139" i="2"/>
  <c r="S139" i="2"/>
  <c r="R138" i="2"/>
  <c r="Q138" i="2"/>
  <c r="R137" i="2"/>
  <c r="Q137" i="2"/>
  <c r="W136" i="2"/>
  <c r="V136" i="2"/>
  <c r="U136" i="2"/>
  <c r="T136" i="2"/>
  <c r="S136" i="2"/>
  <c r="V135" i="2"/>
  <c r="S135" i="2"/>
  <c r="Q135" i="2"/>
  <c r="AC134" i="2"/>
  <c r="AB134" i="2"/>
  <c r="AA134" i="2"/>
  <c r="Z134" i="2"/>
  <c r="Y134" i="2"/>
  <c r="X133" i="2"/>
  <c r="W133" i="2"/>
  <c r="S133" i="2"/>
  <c r="R132" i="2"/>
  <c r="Q132" i="2"/>
  <c r="R131" i="2"/>
  <c r="Q131" i="2"/>
  <c r="V130" i="2"/>
  <c r="S130" i="2"/>
  <c r="Q130" i="2"/>
  <c r="X129" i="2"/>
  <c r="W129" i="2"/>
  <c r="S129" i="2"/>
  <c r="R128" i="2"/>
  <c r="Q128" i="2"/>
  <c r="R127" i="2"/>
  <c r="Q127" i="2"/>
  <c r="W126" i="2"/>
  <c r="V126" i="2"/>
  <c r="U126" i="2"/>
  <c r="T126" i="2"/>
  <c r="S126" i="2"/>
  <c r="X125" i="2"/>
  <c r="W125" i="2"/>
  <c r="V125" i="2"/>
  <c r="R125" i="2"/>
  <c r="X124" i="2"/>
  <c r="W124" i="2"/>
  <c r="S124" i="2"/>
  <c r="AA123" i="2"/>
  <c r="R122" i="2"/>
  <c r="Q122" i="2"/>
  <c r="R121" i="2"/>
  <c r="Q121" i="2"/>
  <c r="W120" i="2"/>
  <c r="V120" i="2"/>
  <c r="T120" i="2"/>
  <c r="S120" i="2"/>
  <c r="AC119" i="2"/>
  <c r="AB119" i="2"/>
  <c r="AA119" i="2"/>
  <c r="Z119" i="2"/>
  <c r="Y119" i="2"/>
  <c r="V118" i="2"/>
  <c r="S118" i="2"/>
  <c r="Q118" i="2"/>
  <c r="X117" i="2"/>
  <c r="W117" i="2"/>
  <c r="S117" i="2"/>
  <c r="R116" i="2"/>
  <c r="Q116" i="2"/>
  <c r="R115" i="2"/>
  <c r="Q115" i="2"/>
  <c r="V114" i="2"/>
  <c r="T114" i="2"/>
  <c r="S114" i="2"/>
  <c r="AA113" i="2"/>
  <c r="AC112" i="2"/>
  <c r="AB112" i="2"/>
  <c r="AA112" i="2"/>
  <c r="Z112" i="2"/>
  <c r="Y112" i="2"/>
  <c r="V111" i="2"/>
  <c r="S111" i="2"/>
  <c r="Q111" i="2"/>
  <c r="X110" i="2"/>
  <c r="W110" i="2"/>
  <c r="S110" i="2"/>
  <c r="R109" i="2"/>
  <c r="Q109" i="2"/>
  <c r="R108" i="2"/>
  <c r="Q108" i="2"/>
  <c r="AA107" i="2"/>
  <c r="AC106" i="2"/>
  <c r="AB106" i="2"/>
  <c r="AA106" i="2"/>
  <c r="Z106" i="2"/>
  <c r="Y106" i="2"/>
  <c r="X105" i="2"/>
  <c r="W105" i="2"/>
  <c r="S105" i="2"/>
  <c r="R104" i="2"/>
  <c r="Q104" i="2"/>
  <c r="W103" i="2"/>
  <c r="V103" i="2"/>
  <c r="T103" i="2"/>
  <c r="S103" i="2"/>
  <c r="AA102" i="2"/>
  <c r="R101" i="2"/>
  <c r="Q101" i="2"/>
  <c r="V100" i="2"/>
  <c r="S100" i="2"/>
  <c r="Q100" i="2"/>
  <c r="X99" i="2"/>
  <c r="W99" i="2"/>
  <c r="S99" i="2"/>
  <c r="W98" i="2"/>
  <c r="V98" i="2"/>
  <c r="T98" i="2"/>
  <c r="S98" i="2"/>
  <c r="S97" i="2"/>
  <c r="R97" i="2"/>
  <c r="Q97" i="2"/>
  <c r="AA96" i="2"/>
  <c r="R95" i="2"/>
  <c r="Q95" i="2"/>
  <c r="V94" i="2"/>
  <c r="S94" i="2"/>
  <c r="Q94" i="2"/>
  <c r="X93" i="2"/>
  <c r="W93" i="2"/>
  <c r="S93" i="2"/>
  <c r="W92" i="2"/>
  <c r="V92" i="2"/>
  <c r="T92" i="2"/>
  <c r="S92" i="2"/>
  <c r="R91" i="2"/>
  <c r="Q91" i="2"/>
  <c r="AA90" i="2"/>
  <c r="R89" i="2"/>
  <c r="Q89" i="2"/>
  <c r="V88" i="2"/>
  <c r="S88" i="2"/>
  <c r="Q88" i="2"/>
  <c r="AC87" i="2"/>
  <c r="AB87" i="2"/>
  <c r="AA87" i="2"/>
  <c r="Z87" i="2"/>
  <c r="Y87" i="2"/>
  <c r="X86" i="2"/>
  <c r="W86" i="2"/>
  <c r="S86" i="2"/>
  <c r="Q86" i="2"/>
  <c r="R85" i="2"/>
  <c r="Q85" i="2"/>
  <c r="R84" i="2"/>
  <c r="Q84" i="2"/>
  <c r="V83" i="2"/>
  <c r="S83" i="2"/>
  <c r="Q83" i="2"/>
  <c r="X82" i="2"/>
  <c r="W82" i="2"/>
  <c r="S82" i="2"/>
  <c r="Q82" i="2"/>
  <c r="W81" i="2"/>
  <c r="V81" i="2"/>
  <c r="T81" i="2"/>
  <c r="S81" i="2"/>
  <c r="Q81" i="2"/>
  <c r="R80" i="2"/>
  <c r="Q80" i="2"/>
  <c r="R79" i="2"/>
  <c r="Q79" i="2"/>
  <c r="V78" i="2"/>
  <c r="S78" i="2"/>
  <c r="Q78" i="2"/>
  <c r="AC77" i="2"/>
  <c r="AB77" i="2"/>
  <c r="AA77" i="2"/>
  <c r="Z77" i="2"/>
  <c r="Y77" i="2"/>
  <c r="X76" i="2"/>
  <c r="W76" i="2"/>
  <c r="S76" i="2"/>
  <c r="W75" i="2"/>
  <c r="V75" i="2"/>
  <c r="T75" i="2"/>
  <c r="S75" i="2"/>
  <c r="Q75" i="2"/>
  <c r="R74" i="2"/>
  <c r="Q74" i="2"/>
  <c r="R73" i="2"/>
  <c r="Q73" i="2"/>
  <c r="V72" i="2"/>
  <c r="S72" i="2"/>
  <c r="Q72" i="2"/>
  <c r="X71" i="2"/>
  <c r="W71" i="2"/>
  <c r="S71" i="2"/>
  <c r="W70" i="2"/>
  <c r="V70" i="2"/>
  <c r="T70" i="2"/>
  <c r="S70" i="2"/>
  <c r="Q70" i="2"/>
  <c r="R69" i="2"/>
  <c r="Q69" i="2"/>
  <c r="R68" i="2"/>
  <c r="Q68" i="2"/>
  <c r="V67" i="2"/>
  <c r="S67" i="2"/>
  <c r="Q67" i="2"/>
  <c r="X66" i="2"/>
  <c r="W66" i="2"/>
  <c r="S66" i="2"/>
  <c r="S65" i="2"/>
  <c r="R65" i="2"/>
  <c r="Q65" i="2"/>
  <c r="R64" i="2"/>
  <c r="Q64" i="2"/>
  <c r="V63" i="2"/>
  <c r="S63" i="2"/>
  <c r="X62" i="2"/>
  <c r="W62" i="2"/>
  <c r="S62" i="2"/>
  <c r="W61" i="2"/>
  <c r="V61" i="2"/>
  <c r="T61" i="2"/>
  <c r="S61" i="2"/>
  <c r="R60" i="2"/>
  <c r="Q60" i="2"/>
  <c r="R59" i="2"/>
  <c r="Q59" i="2"/>
  <c r="V58" i="2"/>
  <c r="S58" i="2"/>
  <c r="Q58" i="2"/>
  <c r="X57" i="2"/>
  <c r="W57" i="2"/>
  <c r="S57" i="2"/>
  <c r="W56" i="2"/>
  <c r="V56" i="2"/>
  <c r="T56" i="2"/>
  <c r="S56" i="2"/>
  <c r="S55" i="2"/>
  <c r="R55" i="2"/>
  <c r="Q55" i="2"/>
  <c r="R54" i="2"/>
  <c r="Q54" i="2"/>
  <c r="X53" i="2"/>
  <c r="W53" i="2"/>
  <c r="S53" i="2"/>
  <c r="W52" i="2"/>
  <c r="V52" i="2"/>
  <c r="T52" i="2"/>
  <c r="S52" i="2"/>
  <c r="R51" i="2"/>
  <c r="Q51" i="2"/>
  <c r="R50" i="2"/>
  <c r="Q50" i="2"/>
  <c r="X49" i="2"/>
  <c r="W49" i="2"/>
  <c r="S49" i="2"/>
  <c r="W48" i="2"/>
  <c r="V48" i="2"/>
  <c r="T48" i="2"/>
  <c r="S48" i="2"/>
  <c r="S47" i="2"/>
  <c r="R47" i="2"/>
  <c r="Q47" i="2"/>
  <c r="R46" i="2"/>
  <c r="Q46" i="2"/>
  <c r="X45" i="2"/>
  <c r="W45" i="2"/>
  <c r="S45" i="2"/>
  <c r="R44" i="2"/>
  <c r="Q44" i="2"/>
  <c r="X43" i="2"/>
  <c r="W43" i="2"/>
  <c r="S43" i="2"/>
  <c r="W42" i="2"/>
  <c r="V42" i="2"/>
  <c r="T42" i="2"/>
  <c r="S42" i="2"/>
  <c r="S41" i="2"/>
  <c r="R41" i="2"/>
  <c r="Q41" i="2"/>
  <c r="X40" i="2"/>
  <c r="W40" i="2"/>
  <c r="S40" i="2"/>
  <c r="W39" i="2"/>
  <c r="V39" i="2"/>
  <c r="T39" i="2"/>
  <c r="S39" i="2"/>
  <c r="R38" i="2"/>
  <c r="Q38" i="2"/>
  <c r="R37" i="2"/>
  <c r="Q37" i="2"/>
  <c r="X36" i="2"/>
  <c r="W36" i="2"/>
  <c r="S36" i="2"/>
  <c r="W35" i="2"/>
  <c r="V35" i="2"/>
  <c r="T35" i="2"/>
  <c r="S35" i="2"/>
  <c r="R34" i="2"/>
  <c r="Q34" i="2"/>
  <c r="X33" i="2"/>
  <c r="W33" i="2"/>
  <c r="S33" i="2"/>
  <c r="W32" i="2"/>
  <c r="V32" i="2"/>
  <c r="T32" i="2"/>
  <c r="S32" i="2"/>
  <c r="S31" i="2"/>
  <c r="R31" i="2"/>
  <c r="Q31" i="2"/>
  <c r="R30" i="2"/>
  <c r="Q30" i="2"/>
  <c r="X29" i="2"/>
  <c r="W29" i="2"/>
  <c r="S29" i="2"/>
  <c r="W28" i="2"/>
  <c r="V28" i="2"/>
  <c r="T28" i="2"/>
  <c r="S28" i="2"/>
  <c r="R27" i="2"/>
  <c r="Q27" i="2"/>
  <c r="R26" i="2"/>
  <c r="Q26" i="2"/>
  <c r="X25" i="2"/>
  <c r="W25" i="2"/>
  <c r="S25" i="2"/>
  <c r="AA24" i="2"/>
  <c r="Z24" i="2"/>
  <c r="Y24" i="2"/>
  <c r="R24" i="2"/>
  <c r="S23" i="2"/>
  <c r="R23" i="2"/>
  <c r="Q23" i="2"/>
  <c r="R22" i="2"/>
  <c r="Q22" i="2"/>
  <c r="X21" i="2"/>
  <c r="W21" i="2"/>
  <c r="S21" i="2"/>
  <c r="W20" i="2"/>
  <c r="V20" i="2"/>
  <c r="T20" i="2"/>
  <c r="S20" i="2"/>
  <c r="AA19" i="2"/>
  <c r="Z19" i="2"/>
  <c r="Y19" i="2"/>
  <c r="R19" i="2"/>
  <c r="R18" i="2"/>
  <c r="Q18" i="2"/>
  <c r="R17" i="2"/>
  <c r="Q17" i="2"/>
  <c r="X16" i="2"/>
  <c r="W16" i="2"/>
  <c r="S16" i="2"/>
  <c r="AA15" i="2"/>
  <c r="Z15" i="2"/>
  <c r="Y15" i="2"/>
  <c r="R15" i="2"/>
  <c r="W14" i="2"/>
  <c r="V14" i="2"/>
  <c r="T14" i="2"/>
  <c r="S14" i="2"/>
  <c r="R13" i="2"/>
  <c r="Q13" i="2"/>
  <c r="X12" i="2"/>
  <c r="W12" i="2"/>
  <c r="S12" i="2"/>
  <c r="AA11" i="2"/>
  <c r="Z11" i="2"/>
  <c r="Y11" i="2"/>
  <c r="R11" i="2"/>
  <c r="W10" i="2"/>
  <c r="V10" i="2"/>
  <c r="T10" i="2"/>
  <c r="S10" i="2"/>
  <c r="S9" i="2"/>
  <c r="R9" i="2"/>
  <c r="Q9" i="2"/>
  <c r="R8" i="2"/>
  <c r="Q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14" authorId="0" shapeId="0" xr:uid="{00000000-0006-0000-0100-00000B000000}">
      <text>
        <r>
          <rPr>
            <sz val="14"/>
            <color rgb="FF000000"/>
            <rFont val="Calibri"/>
            <scheme val="minor"/>
          </rPr>
          <t>ALSO CHECK OPEN GATE  &gt;&gt; LINK
เช็ค OPEN GATE ด้วยค่ะ ถ้าท่าไม่รับทางสายเรือไม่สามารถทำอะไรได้ค่ะ</t>
        </r>
      </text>
    </comment>
    <comment ref="F19" authorId="0" shapeId="0" xr:uid="{00000000-0006-0000-0100-000019000000}">
      <text>
        <r>
          <rPr>
            <sz val="14"/>
            <color rgb="FF000000"/>
            <rFont val="Calibri"/>
            <scheme val="minor"/>
          </rPr>
          <t>ALSO CHECK OPEN GATE  &gt;&gt; LINK
เช็ค OPEN GATE ด้วยค่ะ ถ้าท่าไม่รับทางสายเรือไม่สามารถทำอะไรได้ค่ะ</t>
        </r>
      </text>
    </comment>
    <comment ref="F32" authorId="0" shapeId="0" xr:uid="{00000000-0006-0000-0100-000003000000}">
      <text>
        <r>
          <rPr>
            <sz val="14"/>
            <color rgb="FF000000"/>
            <rFont val="Calibri"/>
            <scheme val="minor"/>
          </rPr>
          <t>ALSO CHECK OPEN GATE  &gt;&gt; LINK
เช็ค OPEN GATE ด้วยค่ะ ถ้าท่าไม่รับทางสายเรือไม่สามารถทำอะไรได้ค่ะ</t>
        </r>
      </text>
    </comment>
    <comment ref="F35" authorId="0" shapeId="0" xr:uid="{00000000-0006-0000-0100-000011000000}">
      <text>
        <r>
          <rPr>
            <sz val="14"/>
            <color rgb="FF000000"/>
            <rFont val="Calibri"/>
            <scheme val="minor"/>
          </rPr>
          <t>ALSO CHECK OPEN GATE  &gt;&gt; LINK
เช็ค OPEN GATE ด้วยค่ะ ถ้าท่าไม่รับทางสายเรือไม่สามารถทำอะไรได้ค่ะ</t>
        </r>
      </text>
    </comment>
    <comment ref="F36" authorId="0" shapeId="0" xr:uid="{00000000-0006-0000-0100-000001000000}">
      <text>
        <r>
          <rPr>
            <sz val="14"/>
            <color rgb="FF000000"/>
            <rFont val="Calibri"/>
            <scheme val="minor"/>
          </rPr>
          <t>ALSO CHECK OPEN GATE  &gt;&gt; LINK
เช็ค OPEN GATE ด้วยค่ะ ถ้าท่าไม่รับทางสายเรือไม่สามารถทำอะไรได้ค่ะ</t>
        </r>
      </text>
    </comment>
    <comment ref="F40" authorId="0" shapeId="0" xr:uid="{00000000-0006-0000-0100-00001D000000}">
      <text>
        <r>
          <rPr>
            <sz val="14"/>
            <color rgb="FF000000"/>
            <rFont val="Calibri"/>
            <scheme val="minor"/>
          </rPr>
          <t>ALSO CHECK OPEN GATE  &gt;&gt; LINK
เช็ค OPEN GATE ด้วยค่ะ ถ้าท่าไม่รับทางสายเรือไม่สามารถทำอะไรได้ค่ะ</t>
        </r>
      </text>
    </comment>
    <comment ref="F43" authorId="0" shapeId="0" xr:uid="{00000000-0006-0000-0100-00000C000000}">
      <text>
        <r>
          <rPr>
            <sz val="14"/>
            <color rgb="FF000000"/>
            <rFont val="Calibri"/>
            <scheme val="minor"/>
          </rPr>
          <t>ALSO CHECK OPEN GATE  &gt;&gt; LINK
เช็ค OPEN GATE ด้วยค่ะ ถ้าท่าไม่รับทางสายเรือไม่สามารถทำอะไรได้ค่ะ</t>
        </r>
      </text>
    </comment>
    <comment ref="F48" authorId="0" shapeId="0" xr:uid="{00000000-0006-0000-0100-00001B000000}">
      <text>
        <r>
          <rPr>
            <sz val="14"/>
            <color rgb="FF000000"/>
            <rFont val="Calibri"/>
            <scheme val="minor"/>
          </rPr>
          <t>ALSO CHECK OPEN GATE  &gt;&gt; LINK
เช็ค OPEN GATE ด้วยค่ะ ถ้าท่าไม่รับทางสายเรือไม่สามารถทำอะไรได้ค่ะ</t>
        </r>
      </text>
    </comment>
    <comment ref="F52" authorId="0" shapeId="0" xr:uid="{00000000-0006-0000-0100-000018000000}">
      <text>
        <r>
          <rPr>
            <sz val="14"/>
            <color rgb="FF000000"/>
            <rFont val="Calibri"/>
            <scheme val="minor"/>
          </rPr>
          <t>ALSO CHECK OPEN GATE  &gt;&gt; LINK
เช็ค OPEN GATE ด้วยค่ะ ถ้าท่าไม่รับทางสายเรือไม่สามารถทำอะไรได้ค่ะ</t>
        </r>
      </text>
    </comment>
    <comment ref="F56" authorId="0" shapeId="0" xr:uid="{00000000-0006-0000-0100-000016000000}">
      <text>
        <r>
          <rPr>
            <sz val="14"/>
            <color rgb="FF000000"/>
            <rFont val="Calibri"/>
            <scheme val="minor"/>
          </rPr>
          <t>ALSO CHECK OPEN GATE  &gt;&gt; LINK
เช็ค OPEN GATE ด้วยค่ะ ถ้าท่าไม่รับทางสายเรือไม่สามารถทำอะไรได้ค่ะ</t>
        </r>
      </text>
    </comment>
    <comment ref="F58" authorId="0" shapeId="0" xr:uid="{00000000-0006-0000-0100-000015000000}">
      <text>
        <r>
          <rPr>
            <sz val="14"/>
            <color rgb="FF000000"/>
            <rFont val="Calibri"/>
            <scheme val="minor"/>
          </rPr>
          <t>ALSO CHECK OPEN GATE  &gt;&gt; LINK
เช็ค OPEN GATE ด้วยค่ะ ถ้าท่าไม่รับทางสายเรือไม่สามารถทำอะไรได้ค่ะ</t>
        </r>
      </text>
    </comment>
    <comment ref="F63" authorId="0" shapeId="0" xr:uid="{00000000-0006-0000-0100-000005000000}">
      <text>
        <r>
          <rPr>
            <sz val="14"/>
            <color rgb="FF000000"/>
            <rFont val="Calibri"/>
            <scheme val="minor"/>
          </rPr>
          <t>ALSO CHECK OPEN GATE  &gt;&gt; LINK
เช็ค OPEN GATE ด้วยค่ะ ถ้าท่าไม่รับทางสายเรือไม่สามารถทำอะไรได้ค่ะ</t>
        </r>
      </text>
    </comment>
    <comment ref="F67" authorId="0" shapeId="0" xr:uid="{00000000-0006-0000-0100-000002000000}">
      <text>
        <r>
          <rPr>
            <sz val="14"/>
            <color rgb="FF000000"/>
            <rFont val="Calibri"/>
            <scheme val="minor"/>
          </rPr>
          <t>ALSO CHECK OPEN GATE  &gt;&gt; LINK
เช็ค OPEN GATE ด้วยค่ะ ถ้าท่าไม่รับทางสายเรือไม่สามารถทำอะไรได้ค่ะ</t>
        </r>
      </text>
    </comment>
    <comment ref="F70" authorId="0" shapeId="0" xr:uid="{00000000-0006-0000-0100-000010000000}">
      <text>
        <r>
          <rPr>
            <sz val="14"/>
            <color rgb="FF000000"/>
            <rFont val="Calibri"/>
            <scheme val="minor"/>
          </rPr>
          <t>ALSO CHECK OPEN GATE  &gt;&gt; LINK
เช็ค OPEN GATE ด้วยค่ะ ถ้าท่าไม่รับทางสายเรือไม่สามารถทำอะไรได้ค่ะ</t>
        </r>
      </text>
    </comment>
    <comment ref="F72" authorId="0" shapeId="0" xr:uid="{00000000-0006-0000-0100-00000D000000}">
      <text>
        <r>
          <rPr>
            <sz val="14"/>
            <color rgb="FF000000"/>
            <rFont val="Calibri"/>
            <scheme val="minor"/>
          </rPr>
          <t>ALSO CHECK OPEN GATE  &gt;&gt; LINK
เช็ค OPEN GATE ด้วยค่ะ ถ้าท่าไม่รับทางสายเรือไม่สามารถทำอะไรได้ค่ะ</t>
        </r>
      </text>
    </comment>
    <comment ref="F77" authorId="0" shapeId="0" xr:uid="{00000000-0006-0000-0100-00001C000000}">
      <text>
        <r>
          <rPr>
            <sz val="14"/>
            <color rgb="FF000000"/>
            <rFont val="Calibri"/>
            <scheme val="minor"/>
          </rPr>
          <t>ALSO CHECK OPEN GATE  &gt;&gt; LINK
เช็ค OPEN GATE ด้วยค่ะ ถ้าท่าไม่รับทางสายเรือไม่สามารถทำอะไรได้ค่ะ</t>
        </r>
      </text>
    </comment>
    <comment ref="F81" authorId="0" shapeId="0" xr:uid="{00000000-0006-0000-0100-00001A000000}">
      <text>
        <r>
          <rPr>
            <sz val="14"/>
            <color rgb="FF000000"/>
            <rFont val="Calibri"/>
            <scheme val="minor"/>
          </rPr>
          <t>ALSO CHECK OPEN GATE  &gt;&gt; LINK
เช็ค OPEN GATE ด้วยค่ะ ถ้าท่าไม่รับทางสายเรือไม่สามารถทำอะไรได้ค่ะ</t>
        </r>
      </text>
    </comment>
    <comment ref="F92" authorId="0" shapeId="0" xr:uid="{00000000-0006-0000-0100-000006000000}">
      <text>
        <r>
          <rPr>
            <sz val="14"/>
            <color rgb="FF000000"/>
            <rFont val="Calibri"/>
            <scheme val="minor"/>
          </rPr>
          <t>ALSO CHECK OPEN GATE  &gt;&gt; LINK
เช็ค OPEN GATE ด้วยค่ะ ถ้าท่าไม่รับทางสายเรือไม่สามารถทำอะไรได้ค่ะ</t>
        </r>
      </text>
    </comment>
    <comment ref="F103" authorId="0" shapeId="0" xr:uid="{00000000-0006-0000-0100-00000E000000}">
      <text>
        <r>
          <rPr>
            <sz val="14"/>
            <color rgb="FF000000"/>
            <rFont val="Calibri"/>
            <scheme val="minor"/>
          </rPr>
          <t>ALSO CHECK OPEN GATE  &gt;&gt; LINK
เช็ค OPEN GATE ด้วยค่ะ ถ้าท่าไม่รับทางสายเรือไม่สามารถทำอะไรได้ค่ะ</t>
        </r>
      </text>
    </comment>
    <comment ref="F120" authorId="0" shapeId="0" xr:uid="{00000000-0006-0000-0100-000017000000}">
      <text>
        <r>
          <rPr>
            <sz val="14"/>
            <color rgb="FF000000"/>
            <rFont val="Calibri"/>
            <scheme val="minor"/>
          </rPr>
          <t>ALSO CHECK OPEN GATE  &gt;&gt; LINK
เช็ค OPEN GATE ด้วยค่ะ ถ้าท่าไม่รับทางสายเรือไม่สามารถทำอะไรได้ค่ะ</t>
        </r>
      </text>
    </comment>
    <comment ref="F126" authorId="0" shapeId="0" xr:uid="{00000000-0006-0000-0100-000012000000}">
      <text>
        <r>
          <rPr>
            <sz val="14"/>
            <color rgb="FF000000"/>
            <rFont val="Calibri"/>
            <scheme val="minor"/>
          </rPr>
          <t>ALSO CHECK OPEN GATE  &gt;&gt; LINK
เช็ค OPEN GATE ด้วยค่ะ ถ้าท่าไม่รับทางสายเรือไม่สามารถทำอะไรได้ค่ะ</t>
        </r>
      </text>
    </comment>
    <comment ref="F146" authorId="0" shapeId="0" xr:uid="{00000000-0006-0000-0100-000009000000}">
      <text>
        <r>
          <rPr>
            <sz val="14"/>
            <color rgb="FF000000"/>
            <rFont val="Calibri"/>
            <scheme val="minor"/>
          </rPr>
          <t>ALSO CHECK OPEN GATE  &gt;&gt; LINK
เช็ค OPEN GATE ด้วยค่ะ ถ้าท่าไม่รับทางสายเรือไม่สามารถทำอะไรได้ค่ะ</t>
        </r>
      </text>
    </comment>
    <comment ref="F150" authorId="0" shapeId="0" xr:uid="{00000000-0006-0000-0100-000008000000}">
      <text>
        <r>
          <rPr>
            <sz val="14"/>
            <color rgb="FF000000"/>
            <rFont val="Calibri"/>
            <scheme val="minor"/>
          </rPr>
          <t>ALSO CHECK OPEN GATE  &gt;&gt; LINK
เช็ค OPEN GATE ด้วยค่ะ ถ้าท่าไม่รับทางสายเรือไม่สามารถทำอะไรได้ค่ะ</t>
        </r>
      </text>
    </comment>
    <comment ref="F155" authorId="0" shapeId="0" xr:uid="{00000000-0006-0000-0100-000014000000}">
      <text>
        <r>
          <rPr>
            <sz val="14"/>
            <color rgb="FF000000"/>
            <rFont val="Calibri"/>
            <scheme val="minor"/>
          </rPr>
          <t>ALSO CHECK OPEN GATE  &gt;&gt; LINK
เช็ค OPEN GATE ด้วยค่ะ ถ้าท่าไม่รับทางสายเรือไม่สามารถทำอะไรได้ค่ะ</t>
        </r>
      </text>
    </comment>
    <comment ref="F160" authorId="0" shapeId="0" xr:uid="{00000000-0006-0000-0100-000004000000}">
      <text>
        <r>
          <rPr>
            <sz val="14"/>
            <color rgb="FF000000"/>
            <rFont val="Calibri"/>
            <scheme val="minor"/>
          </rPr>
          <t>ALSO CHECK OPEN GATE  &gt;&gt; LINK
เช็ค OPEN GATE ด้วยค่ะ ถ้าท่าไม่รับทางสายเรือไม่สามารถทำอะไรได้ค่ะ</t>
        </r>
      </text>
    </comment>
    <comment ref="F167" authorId="0" shapeId="0" xr:uid="{00000000-0006-0000-0100-00000F000000}">
      <text>
        <r>
          <rPr>
            <sz val="14"/>
            <color rgb="FF000000"/>
            <rFont val="Calibri"/>
            <scheme val="minor"/>
          </rPr>
          <t>ALSO CHECK OPEN GATE  &gt;&gt; LINK
เช็ค OPEN GATE ด้วยค่ะ ถ้าท่าไม่รับทางสายเรือไม่สามารถทำอะไรได้ค่ะ</t>
        </r>
      </text>
    </comment>
    <comment ref="F177" authorId="0" shapeId="0" xr:uid="{00000000-0006-0000-0100-00000A000000}">
      <text>
        <r>
          <rPr>
            <sz val="14"/>
            <color rgb="FF000000"/>
            <rFont val="Calibri"/>
            <scheme val="minor"/>
          </rPr>
          <t>ALSO CHECK OPEN GATE  &gt;&gt; LINK
เช็ค OPEN GATE ด้วยค่ะ ถ้าท่าไม่รับทางสายเรือไม่สามารถทำอะไรได้ค่ะ</t>
        </r>
      </text>
    </comment>
    <comment ref="F185" authorId="0" shapeId="0" xr:uid="{00000000-0006-0000-0100-000007000000}">
      <text>
        <r>
          <rPr>
            <sz val="14"/>
            <color rgb="FF000000"/>
            <rFont val="Calibri"/>
            <scheme val="minor"/>
          </rPr>
          <t>ALSO CHECK OPEN GATE  &gt;&gt; LINK
เช็ค OPEN GATE ด้วยค่ะ ถ้าท่าไม่รับทางสายเรือไม่สามารถทำอะไรได้ค่ะ</t>
        </r>
      </text>
    </comment>
    <comment ref="F188" authorId="0" shapeId="0" xr:uid="{00000000-0006-0000-0100-000013000000}">
      <text>
        <r>
          <rPr>
            <sz val="14"/>
            <color rgb="FF000000"/>
            <rFont val="Calibri"/>
            <scheme val="minor"/>
          </rPr>
          <t>ALSO CHECK OPEN GATE  &gt;&gt; LINK
เช็ค OPEN GATE ด้วยค่ะ ถ้าท่าไม่รับทางสายเรือไม่สามารถทำอะไรได้ค่ะ</t>
        </r>
      </text>
    </comment>
  </commentList>
</comments>
</file>

<file path=xl/sharedStrings.xml><?xml version="1.0" encoding="utf-8"?>
<sst xmlns="http://schemas.openxmlformats.org/spreadsheetml/2006/main" count="3384" uniqueCount="1633">
  <si>
    <t>193/87-88 LAKE RAJADA OFFICE COMPLEX, 21ST FLOOR, 
RACHADAPISEK ROAD KLONGTOEY, BANGKOK 10110  
TEL. 02-204-7400</t>
  </si>
  <si>
    <t>DOWNLOAD ALL</t>
  </si>
  <si>
    <t>193/87-88 LAKE RAJADA OFFICE COMPLEX, 21ST FLOOR, RACHADAPISEK ROAD KLONGTOEY, 
BANGKOK 10110 TEL. 02-204-7400</t>
  </si>
  <si>
    <t>193/87-88 LAKE RAJADA OFFICE COMPLEX, 21ST FLOOR, 
RACHADAPISEK ROAD KLONGTOEY, BANGKOK 10110  
TEL. 02-204-7400  099-3-00005312-5</t>
  </si>
  <si>
    <t>BANGKOK OFFICE</t>
  </si>
  <si>
    <t>** DON'T FORGET TO CHECK OPEN GATE **
เนื่องจากวันคืนของสายเรือไม่ตรงกับท่า ดังนั้น เช็ค OPEN GATE ด้วยนะคะ
ถ้าท่าไม่รับทางสายเรือไม่สามารถทำอะไรได้ค่ะ</t>
  </si>
  <si>
    <t>THAILAND TO JAPAN</t>
  </si>
  <si>
    <t>193/87-88 LAKE RAJADA OFFICE COMPLEX, 21ST FLOOR</t>
  </si>
  <si>
    <t xml:space="preserve">RACHADAPISEK ROAD, KLONGTOEY, BANGKOK 10110 </t>
  </si>
  <si>
    <t xml:space="preserve">TAX ID. 0993-00005312-5  TEL. 02-204-7400 </t>
  </si>
  <si>
    <t>SVC</t>
  </si>
  <si>
    <t>BKK</t>
  </si>
  <si>
    <t>TSL CENTER EMAIL</t>
  </si>
  <si>
    <r>
      <rPr>
        <b/>
        <sz val="14"/>
        <color theme="1"/>
        <rFont val="Calibri"/>
        <family val="2"/>
      </rPr>
      <t xml:space="preserve">TH LOCAL CHARGE (THB) </t>
    </r>
    <r>
      <rPr>
        <b/>
        <u/>
        <sz val="14"/>
        <color rgb="FF1155CC"/>
        <rFont val="Calibri"/>
        <family val="2"/>
      </rPr>
      <t>CLICK</t>
    </r>
  </si>
  <si>
    <t>LCB</t>
  </si>
  <si>
    <t>TRANSIT TIME</t>
  </si>
  <si>
    <t>OUTBOUND DEPARTMENT</t>
  </si>
  <si>
    <t>CHECK ON BOARD &lt;BL PRINT, EX.RATE&gt; CLICK!!</t>
  </si>
  <si>
    <t xml:space="preserve">BKKEXP1@BKK-TSLINES.COM </t>
  </si>
  <si>
    <t>RTN TERMINAL</t>
  </si>
  <si>
    <t>JOB FUNCTION</t>
  </si>
  <si>
    <t>GROUP MAIL FOR EXPORT</t>
  </si>
  <si>
    <t xml:space="preserve">CLOSING </t>
  </si>
  <si>
    <t>ETD</t>
  </si>
  <si>
    <t>JPOSA</t>
  </si>
  <si>
    <t>JPUKB</t>
  </si>
  <si>
    <t>JPNGO</t>
  </si>
  <si>
    <t>JPYOK</t>
  </si>
  <si>
    <t>JPTYO</t>
  </si>
  <si>
    <t>JHT</t>
  </si>
  <si>
    <t>SAHATHAI,LKB</t>
  </si>
  <si>
    <t>THU 23:59</t>
  </si>
  <si>
    <t>SAT</t>
  </si>
  <si>
    <t>KERRY # 2816</t>
  </si>
  <si>
    <t>FRI 23:59</t>
  </si>
  <si>
    <t>SUN</t>
  </si>
  <si>
    <t>THAILAND TO TAIWAN</t>
  </si>
  <si>
    <t>TWKHH/TWKEL</t>
  </si>
  <si>
    <t>TWTXG</t>
  </si>
  <si>
    <t>JTX</t>
  </si>
  <si>
    <t>PAT1 #0251</t>
  </si>
  <si>
    <t>MON 06:00</t>
  </si>
  <si>
    <t>THU</t>
  </si>
  <si>
    <t>B5#2815</t>
  </si>
  <si>
    <t>WED 16:00</t>
  </si>
  <si>
    <t>FRI</t>
  </si>
  <si>
    <t>-</t>
  </si>
  <si>
    <t>IA10</t>
  </si>
  <si>
    <t>PAT2 #0252</t>
  </si>
  <si>
    <t>TUE 11:59</t>
  </si>
  <si>
    <t>A0#2835</t>
  </si>
  <si>
    <t>THU 11:59</t>
  </si>
  <si>
    <t>T/S TXG +2Days</t>
  </si>
  <si>
    <t>THAILAND TO PHILIPPINE</t>
  </si>
  <si>
    <t>PHMNN</t>
  </si>
  <si>
    <t>PHBTG</t>
  </si>
  <si>
    <t>THAILAND TO HONGKONG /SHEKOU /NANSHA</t>
  </si>
  <si>
    <t>BKK / LKB</t>
  </si>
  <si>
    <t>TRANSIT TIIME</t>
  </si>
  <si>
    <t>HKHKG</t>
  </si>
  <si>
    <t>CNSKU</t>
  </si>
  <si>
    <t>CN0NW</t>
  </si>
  <si>
    <t>CVT</t>
  </si>
  <si>
    <t>PAT 1 #0251</t>
  </si>
  <si>
    <t>WED 11:59</t>
  </si>
  <si>
    <t>CHT</t>
  </si>
  <si>
    <t>MON 11:59</t>
  </si>
  <si>
    <t>WED</t>
  </si>
  <si>
    <t>KCX</t>
  </si>
  <si>
    <t>CA3</t>
  </si>
  <si>
    <t>LKB # 2816</t>
  </si>
  <si>
    <t>WED 17:00</t>
  </si>
  <si>
    <t>DIRECT LINE</t>
  </si>
  <si>
    <t>EXT.</t>
  </si>
  <si>
    <t>E-MAIL</t>
  </si>
  <si>
    <t>THAILAND TO KOREA</t>
  </si>
  <si>
    <t>BKKEXPCS@BKK-TSLINES.COM</t>
  </si>
  <si>
    <t>SPACE CONTROL TEAM</t>
  </si>
  <si>
    <t>ALL REEFER &amp; DRY BKK free time DET 7 DEM 5
DRY LCB free time DET 7 DEM 7</t>
  </si>
  <si>
    <t>O/B CS Specialist</t>
  </si>
  <si>
    <t>OPERATION@BKK-TSLINES.COM</t>
  </si>
  <si>
    <t>KRINC</t>
  </si>
  <si>
    <t>KRPUS</t>
  </si>
  <si>
    <t>OPERATION TEAM</t>
  </si>
  <si>
    <t>Ms.Chernatan</t>
  </si>
  <si>
    <t>THE 11:59</t>
  </si>
  <si>
    <t>EQC@BKK-TSLINES.COM</t>
  </si>
  <si>
    <t>THAILAND TO XIAMEN /QINGTAO</t>
  </si>
  <si>
    <t>Mangpor</t>
  </si>
  <si>
    <t>Cs outbound leader</t>
  </si>
  <si>
    <t>662-204-7483</t>
  </si>
  <si>
    <t xml:space="preserve"> </t>
  </si>
  <si>
    <t>CLOSING</t>
  </si>
  <si>
    <t>CNXMN</t>
  </si>
  <si>
    <t>CNSHA</t>
  </si>
  <si>
    <t>CNNBO</t>
  </si>
  <si>
    <t>CNTAO</t>
  </si>
  <si>
    <t>THAILAND TO SHANGHAI/NINGBO</t>
  </si>
  <si>
    <r>
      <rPr>
        <b/>
        <sz val="14"/>
        <color theme="1"/>
        <rFont val="Chakra Petch"/>
      </rPr>
      <t xml:space="preserve">VGM </t>
    </r>
    <r>
      <rPr>
        <b/>
        <sz val="14"/>
        <color theme="1"/>
        <rFont val="Sarabun"/>
      </rPr>
      <t>&amp;</t>
    </r>
    <r>
      <rPr>
        <b/>
        <sz val="14"/>
        <color theme="1"/>
        <rFont val="Chakra Petch"/>
      </rPr>
      <t xml:space="preserve"> SI Cut off </t>
    </r>
    <r>
      <rPr>
        <b/>
        <sz val="14"/>
        <color rgb="FFF79646"/>
        <rFont val="Chakra Petch"/>
      </rPr>
      <t>3Days</t>
    </r>
    <r>
      <rPr>
        <b/>
        <sz val="14"/>
        <color theme="1"/>
        <rFont val="Chakra Petch"/>
      </rPr>
      <t xml:space="preserve"> </t>
    </r>
    <r>
      <rPr>
        <b/>
        <sz val="14"/>
        <color rgb="FFFF0000"/>
        <rFont val="Chakra Petch"/>
      </rPr>
      <t xml:space="preserve">before </t>
    </r>
    <r>
      <rPr>
        <b/>
        <sz val="14"/>
        <color theme="1"/>
        <rFont val="Chakra Petch"/>
      </rPr>
      <t xml:space="preserve">ETD </t>
    </r>
    <r>
      <rPr>
        <b/>
        <sz val="14"/>
        <color rgb="FFFF9900"/>
        <rFont val="Chakra Petch"/>
      </rPr>
      <t xml:space="preserve">@15.00HRS  </t>
    </r>
    <r>
      <rPr>
        <b/>
        <sz val="14"/>
        <color theme="1"/>
        <rFont val="Chakra Petch"/>
      </rPr>
      <t xml:space="preserve">    </t>
    </r>
    <r>
      <rPr>
        <sz val="14"/>
        <color theme="1"/>
        <rFont val="Chakra Petch"/>
      </rPr>
      <t xml:space="preserve">                 </t>
    </r>
  </si>
  <si>
    <t>EQC TEAM</t>
  </si>
  <si>
    <t>REEFER-TSL@BKK-TSLINES.COM</t>
  </si>
  <si>
    <t>chernatan@bkk-tslines.com</t>
  </si>
  <si>
    <t xml:space="preserve">FOR REEFER &amp; OOG </t>
  </si>
  <si>
    <r>
      <rPr>
        <b/>
        <sz val="10"/>
        <color theme="1"/>
        <rFont val="Sarabun"/>
      </rPr>
      <t>for 1ST RTN</t>
    </r>
    <r>
      <rPr>
        <b/>
        <sz val="10"/>
        <color rgb="FF0000FF"/>
        <rFont val="Sarabun"/>
      </rPr>
      <t xml:space="preserve"> OOG,</t>
    </r>
    <r>
      <rPr>
        <b/>
        <sz val="10"/>
        <color theme="1"/>
        <rFont val="Sarabun"/>
      </rPr>
      <t xml:space="preserve"> </t>
    </r>
    <r>
      <rPr>
        <b/>
        <sz val="10"/>
        <color rgb="FF0000FF"/>
        <rFont val="Sarabun"/>
      </rPr>
      <t xml:space="preserve">REEFER </t>
    </r>
    <r>
      <rPr>
        <b/>
        <sz val="10"/>
        <color theme="1"/>
        <rFont val="Sarabun"/>
      </rPr>
      <t xml:space="preserve">
check with CS directly</t>
    </r>
  </si>
  <si>
    <t>SPACE CONTROL</t>
  </si>
  <si>
    <t>bkkexpcs@bkk-tslines.com</t>
  </si>
  <si>
    <t>O/B CS Senior Specialist</t>
  </si>
  <si>
    <t>Ms.Ladawan</t>
  </si>
  <si>
    <t>Fon</t>
  </si>
  <si>
    <t>Pre-loading Service / CBF TRX, HLS</t>
  </si>
  <si>
    <t>662-204-7454</t>
  </si>
  <si>
    <t>ladawan@bkk-tslines.com</t>
  </si>
  <si>
    <r>
      <rPr>
        <b/>
        <sz val="12"/>
        <color rgb="FFFF0000"/>
        <rFont val="Tahoma"/>
        <family val="2"/>
      </rPr>
      <t xml:space="preserve">DO NOT </t>
    </r>
    <r>
      <rPr>
        <b/>
        <sz val="12"/>
        <color rgb="FF000000"/>
        <rFont val="Tahoma"/>
        <family val="2"/>
      </rPr>
      <t>PICK UP CONTAINER ON CLOSING DATE</t>
    </r>
  </si>
  <si>
    <t>O/B CS Staff</t>
  </si>
  <si>
    <t>Ms.Tanwarat</t>
  </si>
  <si>
    <t>New</t>
  </si>
  <si>
    <t>Pre-loading Service / CBF CVT</t>
  </si>
  <si>
    <t>662-204-7453</t>
  </si>
  <si>
    <t>SI@BKK-TSLINES.COM</t>
  </si>
  <si>
    <t xml:space="preserve">FOR SHIPPING PARTICULAR (SI) </t>
  </si>
  <si>
    <t>EXPORT-DOC@BKK-TSLINES.COM</t>
  </si>
  <si>
    <t>FOR B/L</t>
  </si>
  <si>
    <t xml:space="preserve">CFS : TS LINES ZONE 1 K.PHON 089-0675646 PAT1 (#0251) </t>
  </si>
  <si>
    <t>RTN ESCO LKB GATE2 K.KOOK ,K.NOON T.02-1068900 # 2105-6</t>
  </si>
  <si>
    <t xml:space="preserve">RTN SAHATHAI PAPERLESS CODE (#0520,#2801)                                                                                                                                                          </t>
  </si>
  <si>
    <t xml:space="preserve">CY IN PAT LOAD TS LINE ZONE 1 Tel K Mud 0946788015 PAT1 (#0251) </t>
  </si>
  <si>
    <t>CFS : ESCO GATE2 K.TA 0-2106-8900 EXT: 2170</t>
  </si>
  <si>
    <t>CFS : SAHATHAI K.Fukfang 092-247-1204, K.Kwan 064-6179-442 /CFS Mobile Duty : 092-247-1204 (#0520,#2801)</t>
  </si>
  <si>
    <t>tanwarat@bkk-tslines.com</t>
  </si>
  <si>
    <t>Ms.Chonlada</t>
  </si>
  <si>
    <t>TS LINES SERVICE SCHEDULE</t>
  </si>
  <si>
    <t>Bam</t>
  </si>
  <si>
    <t>Pre-loading Service / CBF CHT, SVT</t>
  </si>
  <si>
    <t>662-204-7451</t>
  </si>
  <si>
    <t>Chonlada@bkk-tslines.com</t>
  </si>
  <si>
    <t>JAPAN + CHINA</t>
  </si>
  <si>
    <t xml:space="preserve">SALES &amp; CS GROUP </t>
  </si>
  <si>
    <t>bkkexp1@bkk-tslines.com</t>
  </si>
  <si>
    <t>O/B Sales Senior Specialist</t>
  </si>
  <si>
    <t>Ms.Thippanard</t>
  </si>
  <si>
    <t>Noon</t>
  </si>
  <si>
    <t>Sales all Service</t>
  </si>
  <si>
    <t>66-88-229-6049</t>
  </si>
  <si>
    <t>Thippanard@bkk-tslines.com</t>
  </si>
  <si>
    <t>O/B Sales Specialist</t>
  </si>
  <si>
    <t>Mr. Nithid</t>
  </si>
  <si>
    <t>Oat</t>
  </si>
  <si>
    <t>66-97-265-9374</t>
  </si>
  <si>
    <r>
      <rPr>
        <sz val="12"/>
        <color rgb="FF000000"/>
        <rFont val="Calibri"/>
        <family val="2"/>
      </rPr>
      <t>N</t>
    </r>
    <r>
      <rPr>
        <sz val="12"/>
        <color rgb="FF000000"/>
        <rFont val="Calibri"/>
        <family val="2"/>
      </rPr>
      <t>ithid@bkk-tslines.com</t>
    </r>
  </si>
  <si>
    <t>Ms.Warittha</t>
  </si>
  <si>
    <t>Miw</t>
  </si>
  <si>
    <t>662-204-7455</t>
  </si>
  <si>
    <t>Warittha@bkk-tslines.com</t>
  </si>
  <si>
    <t xml:space="preserve">O/B Sales </t>
  </si>
  <si>
    <t>Mr. Sinlapin</t>
  </si>
  <si>
    <t>Petch</t>
  </si>
  <si>
    <t xml:space="preserve">Sales all Service </t>
  </si>
  <si>
    <t>66-96-990-2931</t>
  </si>
  <si>
    <t>Sinlapin@bkk-tslines.com</t>
  </si>
  <si>
    <t>Mr.Tatchathep</t>
  </si>
  <si>
    <t>Meen</t>
  </si>
  <si>
    <t>Release booking Service CHT</t>
  </si>
  <si>
    <t>662-204-7458</t>
  </si>
  <si>
    <t>Tatchathep@bkk-tslines.com</t>
  </si>
  <si>
    <t>Ms.Yuwajaras</t>
  </si>
  <si>
    <t>Mint</t>
  </si>
  <si>
    <t>Release booking Service CVT, HLS / FOB</t>
  </si>
  <si>
    <t>662-204-7410</t>
  </si>
  <si>
    <t>Yuwajaras@bkk-tslines.com</t>
  </si>
  <si>
    <t>Ms.Ubonkan</t>
  </si>
  <si>
    <t>FIRST PICK UP</t>
  </si>
  <si>
    <t>Pai</t>
  </si>
  <si>
    <t>Release booking Service TRX</t>
  </si>
  <si>
    <t>662-204-7492</t>
  </si>
  <si>
    <t>Ubonkan@bkk-tslines.com</t>
  </si>
  <si>
    <t xml:space="preserve">Ms.Chanison </t>
  </si>
  <si>
    <t>Noey</t>
  </si>
  <si>
    <t>Release booking Service SVT</t>
  </si>
  <si>
    <t>662-204-7452</t>
  </si>
  <si>
    <r>
      <rPr>
        <sz val="12"/>
        <color rgb="FF000000"/>
        <rFont val="Calibri"/>
        <family val="2"/>
      </rPr>
      <t>Chanison</t>
    </r>
    <r>
      <rPr>
        <sz val="12"/>
        <color rgb="FF000000"/>
        <rFont val="Calibri"/>
        <family val="2"/>
      </rPr>
      <t>@bkk-tslines.com</t>
    </r>
  </si>
  <si>
    <t>REEFER &amp; OOG</t>
  </si>
  <si>
    <t>reefer-tsl@bkk-tslines.com</t>
  </si>
  <si>
    <t xml:space="preserve">Reefer Sales </t>
  </si>
  <si>
    <t>Ms.Chonthicha</t>
  </si>
  <si>
    <t>Mind</t>
  </si>
  <si>
    <t>Sales Reefer</t>
  </si>
  <si>
    <t>66-98-759-7337</t>
  </si>
  <si>
    <t>chonthicha@bkk-tslines.com</t>
  </si>
  <si>
    <t>Reefer CS Staff</t>
  </si>
  <si>
    <t>Ms.Kachamas</t>
  </si>
  <si>
    <t>Bell</t>
  </si>
  <si>
    <t>CS Reefer</t>
  </si>
  <si>
    <t>662-204-7487</t>
  </si>
  <si>
    <t>kachamas@bkk-tslines.com</t>
  </si>
  <si>
    <t>SI</t>
  </si>
  <si>
    <t>si@bkk-tslines.com</t>
  </si>
  <si>
    <t>Outbound Staff</t>
  </si>
  <si>
    <t>Ms.Wasana</t>
  </si>
  <si>
    <t>Ink</t>
  </si>
  <si>
    <t>SI,RR Fetch,B/L TRX , CHT (THLCB),HLS service</t>
  </si>
  <si>
    <t>662-204-7465</t>
  </si>
  <si>
    <t>FIRST RETURN</t>
  </si>
  <si>
    <t>CUT OFF</t>
  </si>
  <si>
    <t>CHINA</t>
  </si>
  <si>
    <t>TRX</t>
  </si>
  <si>
    <t>BKK - SAT</t>
  </si>
  <si>
    <t>Wasana@bkk-tslines.com</t>
  </si>
  <si>
    <t>Ms.Warinyupa</t>
  </si>
  <si>
    <t>Mild</t>
  </si>
  <si>
    <t>SI,RR Fetch,B/L CHT (THBKK),NTX service</t>
  </si>
  <si>
    <t>662-204-7407</t>
  </si>
  <si>
    <t>warinyupa@bkk-tslines.com</t>
  </si>
  <si>
    <t>CY</t>
  </si>
  <si>
    <t>RTN PLACE</t>
  </si>
  <si>
    <t>DOCUMENT EXPORT</t>
  </si>
  <si>
    <t>export-doc@bkk-tslines.com</t>
  </si>
  <si>
    <t>Outbound Supervisor</t>
  </si>
  <si>
    <t xml:space="preserve">Ms.Nichanunt </t>
  </si>
  <si>
    <t>Lai</t>
  </si>
  <si>
    <t>B/L ,Manifest TRX ,CHT (THLCB),ADHOC service and submit AFR,AMS</t>
  </si>
  <si>
    <t>662-204-7466</t>
  </si>
  <si>
    <t>nichanunt@bkk-tslines.com</t>
  </si>
  <si>
    <t>1ST RTN // 1ST CFS</t>
  </si>
  <si>
    <t xml:space="preserve">Mr.Apichart </t>
  </si>
  <si>
    <t>Ole</t>
  </si>
  <si>
    <t>B/L and telex release all service (THBKK)</t>
  </si>
  <si>
    <t>662-204-7468</t>
  </si>
  <si>
    <t>apichart@bkk-tslines.com</t>
  </si>
  <si>
    <t xml:space="preserve">Ms.Nittaya </t>
  </si>
  <si>
    <t>Taew</t>
  </si>
  <si>
    <t>SI,RR Fetch,B/L,Manifest  SVT, HLS service</t>
  </si>
  <si>
    <t>662-204-7471</t>
  </si>
  <si>
    <t>nittaya@bkk-tslines.com</t>
  </si>
  <si>
    <t xml:space="preserve">Ms.Sunata </t>
  </si>
  <si>
    <t>May</t>
  </si>
  <si>
    <t>SI,RR Fetch,B/L,Manifest CHT (THBKK), NTX service</t>
  </si>
  <si>
    <t>662-204-7431</t>
  </si>
  <si>
    <t>sunata@bkk-tslines.com</t>
  </si>
  <si>
    <t>Ms.Wuttichai</t>
  </si>
  <si>
    <t>Pea</t>
  </si>
  <si>
    <t>SI,RR Fetch,B/L CVT service</t>
  </si>
  <si>
    <t>662-204-7467</t>
  </si>
  <si>
    <t>wuttichai@bkk-tslines.com</t>
  </si>
  <si>
    <t>IMPORT DEPARTMENT</t>
  </si>
  <si>
    <t>TUE</t>
  </si>
  <si>
    <t>OPEN GATE</t>
  </si>
  <si>
    <t>THU 17.00</t>
  </si>
  <si>
    <t>BKK - WED</t>
  </si>
  <si>
    <t>UPDATE ETD BKK</t>
  </si>
  <si>
    <t>UPDATE ETD LCB</t>
  </si>
  <si>
    <t>LETTER DELAY (DOWNLOAD)</t>
  </si>
  <si>
    <t>ETA</t>
  </si>
  <si>
    <t>MON 23.59</t>
  </si>
  <si>
    <t xml:space="preserve">SALE </t>
  </si>
  <si>
    <t>sales-import@bkk-tslines.com and idem-idet@bkk-tslines.com</t>
  </si>
  <si>
    <t>Sales Co Deputy Supervisor</t>
  </si>
  <si>
    <t>Mr.Sema</t>
  </si>
  <si>
    <t>Seen</t>
  </si>
  <si>
    <t>Lifting, Outstanding, Un-account, Long-stay, Import acceptance checking</t>
  </si>
  <si>
    <t>662-204-7460</t>
  </si>
  <si>
    <t>sema@bkk-tslines.com</t>
  </si>
  <si>
    <t>REMARKS</t>
  </si>
  <si>
    <t>BKK - TUE</t>
  </si>
  <si>
    <t>IMPORT DOCUMENT</t>
  </si>
  <si>
    <t>import@bkk-tslines.com</t>
  </si>
  <si>
    <t>Senior Specialist</t>
  </si>
  <si>
    <t xml:space="preserve">Ms.Petaree </t>
  </si>
  <si>
    <t>Anny</t>
  </si>
  <si>
    <t>Leader Import CS and Document support team all job case, CLIS VSED, SAOPER CVT, CHT, HLS</t>
  </si>
  <si>
    <t>662-204-7411</t>
  </si>
  <si>
    <t>WK</t>
  </si>
  <si>
    <t>petaree@bkk-tslines.com</t>
  </si>
  <si>
    <t>Inbound Staff</t>
  </si>
  <si>
    <t xml:space="preserve">Ms.Saranrat </t>
  </si>
  <si>
    <t>Bee</t>
  </si>
  <si>
    <t>Document Submit Manifest on ECS SVT, TRX, VGI service, CLIS VSED, SAOPER service and release D/O</t>
  </si>
  <si>
    <t>662-204-7474</t>
  </si>
  <si>
    <t>sararat@bkk-tslines.com</t>
  </si>
  <si>
    <t xml:space="preserve">Ms.Sudarat </t>
  </si>
  <si>
    <t>Document Submit Manifest on ECS CHT, HLS service, Longstay case support sales and release D/O</t>
  </si>
  <si>
    <t>662-204-7464</t>
  </si>
  <si>
    <t>VESSEL</t>
  </si>
  <si>
    <t>SUN 17.00</t>
  </si>
  <si>
    <t>sudarat@bkk-tslines.com</t>
  </si>
  <si>
    <t>Ms.Arisara</t>
  </si>
  <si>
    <t>Fa-na</t>
  </si>
  <si>
    <t>Document Submit Manifest on ECS CVT, NTX service and release D/O</t>
  </si>
  <si>
    <t xml:space="preserve">662-204- 7495 </t>
  </si>
  <si>
    <t xml:space="preserve">arisara@bkk-tslines.com
</t>
  </si>
  <si>
    <t>TERMINAL BKK/LCB</t>
  </si>
  <si>
    <t>IMPORT CS</t>
  </si>
  <si>
    <t>Staff</t>
  </si>
  <si>
    <t xml:space="preserve">Ms.Ariyanat </t>
  </si>
  <si>
    <t>Choke</t>
  </si>
  <si>
    <t>Outstanding, Demurrage, Detention, Un-account</t>
  </si>
  <si>
    <t>662-204-7479</t>
  </si>
  <si>
    <t>ariyanut.p@bkk-tslines.com</t>
  </si>
  <si>
    <t xml:space="preserve">Mr.Pongsakorn </t>
  </si>
  <si>
    <t>Aob</t>
  </si>
  <si>
    <t>Arrival Notice, AR invoice CVT</t>
  </si>
  <si>
    <t>pongsakorn@bkk-tslines.com</t>
  </si>
  <si>
    <t xml:space="preserve">Ms.Nutnicha </t>
  </si>
  <si>
    <t>BaiFern</t>
  </si>
  <si>
    <t>Arrival Notice, AR invoice CHT THLCB</t>
  </si>
  <si>
    <t>662-204-7491</t>
  </si>
  <si>
    <t>nutnicha@bkk-tslines.com</t>
  </si>
  <si>
    <t>OPERATION DEPARTMENT</t>
  </si>
  <si>
    <t>BKK/CFS</t>
  </si>
  <si>
    <t>CFS</t>
  </si>
  <si>
    <t>SHT/LKB/LCB</t>
  </si>
  <si>
    <t>operation@bkk-tslines.com , vgm@bkk-tslines.com</t>
  </si>
  <si>
    <t>CUTOFF BKK</t>
  </si>
  <si>
    <t>MON 17.00</t>
  </si>
  <si>
    <t>Manager</t>
  </si>
  <si>
    <t xml:space="preserve">Mrs.Bang-orn </t>
  </si>
  <si>
    <t>Orn</t>
  </si>
  <si>
    <t>Loading list, TDR entry CHT, SVT, HLS and Adhoc, Vessel schedule, Terminal cost, Partner crane charge</t>
  </si>
  <si>
    <t>662-204-7405</t>
  </si>
  <si>
    <t>bang-orn@bkk-tslines.com</t>
  </si>
  <si>
    <t xml:space="preserve">Mr.Peerawat </t>
  </si>
  <si>
    <t>Wat</t>
  </si>
  <si>
    <t>EXP &amp; IMP entry, submit and revised customs document at BKK (On site) , LCB+BKK customs revised</t>
  </si>
  <si>
    <t>061-414-2532</t>
  </si>
  <si>
    <t>peerawat@bkk-tslines.com</t>
  </si>
  <si>
    <t xml:space="preserve">Ms.Nudwara </t>
  </si>
  <si>
    <t>Nud</t>
  </si>
  <si>
    <t>FRI 17.00</t>
  </si>
  <si>
    <t>Loading list, TDR entry CVT, TRX, VGI &amp; SOC, Vessel schedule</t>
  </si>
  <si>
    <t>662-204-7490</t>
  </si>
  <si>
    <t>nudwara@bkk-tslines.com</t>
  </si>
  <si>
    <t xml:space="preserve">Ms.Kittima </t>
  </si>
  <si>
    <t>Por</t>
  </si>
  <si>
    <t>Vessel schedule, TDR entry for partner vessel, LCB customs revised</t>
  </si>
  <si>
    <t>662-204-7404</t>
  </si>
  <si>
    <t>LCB - SUN</t>
  </si>
  <si>
    <t>kittima@bkk-tslines.com</t>
  </si>
  <si>
    <t>EQC DEPARTMENT</t>
  </si>
  <si>
    <t>CUTOFF SHT/LKB</t>
  </si>
  <si>
    <t>MON</t>
  </si>
  <si>
    <t>eqc@bkk-tslines.com</t>
  </si>
  <si>
    <t>CUTOFF LCB</t>
  </si>
  <si>
    <t>ETD 
LCB</t>
  </si>
  <si>
    <t>FRI 23.59</t>
  </si>
  <si>
    <t>LCB - THU</t>
  </si>
  <si>
    <t>TUE 23.59</t>
  </si>
  <si>
    <t>TUE 17.00</t>
  </si>
  <si>
    <t>PORT</t>
  </si>
  <si>
    <t>PAT 1 0251</t>
  </si>
  <si>
    <t>KERRY 2816</t>
  </si>
  <si>
    <t>B5 2815</t>
  </si>
  <si>
    <t xml:space="preserve"> SIAM 2809</t>
  </si>
  <si>
    <t>NANSHA NEW PORT</t>
  </si>
  <si>
    <t>EQC Manager</t>
  </si>
  <si>
    <t xml:space="preserve">Mr.Natchapon </t>
  </si>
  <si>
    <t>Maung</t>
  </si>
  <si>
    <t>Manage Stock</t>
  </si>
  <si>
    <t>662-204-7493</t>
  </si>
  <si>
    <t>natchapon@bkk-tslines.com</t>
  </si>
  <si>
    <t>Specialist</t>
  </si>
  <si>
    <t xml:space="preserve">Ms.Chalalai </t>
  </si>
  <si>
    <t>Jun</t>
  </si>
  <si>
    <t>Update movement &amp; Bill checking</t>
  </si>
  <si>
    <t>662-204-7445</t>
  </si>
  <si>
    <t>chalalai@bkk-tslines.com</t>
  </si>
  <si>
    <t>Equipment Staff</t>
  </si>
  <si>
    <t xml:space="preserve">Ms.Patcharaporn </t>
  </si>
  <si>
    <t>Stock Depot(Daily &amp; Weekly report)</t>
  </si>
  <si>
    <t>662-204-7412</t>
  </si>
  <si>
    <t>patcharaporn@bkk-tslines.com</t>
  </si>
  <si>
    <t xml:space="preserve">Ms.Panyatip </t>
  </si>
  <si>
    <t>HKG</t>
  </si>
  <si>
    <t>Ya</t>
  </si>
  <si>
    <t>662-204-7443</t>
  </si>
  <si>
    <t>panyatip@bkk-tslines.com</t>
  </si>
  <si>
    <t xml:space="preserve">Ms.Rattana </t>
  </si>
  <si>
    <t>Ket</t>
  </si>
  <si>
    <t>Bill checking and issue AP invoice container cost</t>
  </si>
  <si>
    <t>662-204-7415</t>
  </si>
  <si>
    <t>rattana@bkk-tslines.com</t>
  </si>
  <si>
    <t xml:space="preserve">Ms.Jlinya </t>
  </si>
  <si>
    <t>Film</t>
  </si>
  <si>
    <t>662-204-7417</t>
  </si>
  <si>
    <t>jlinya@bkk-tslines.com</t>
  </si>
  <si>
    <t>M&amp;R DEPARTMENT</t>
  </si>
  <si>
    <t>outstanding@bkk-tslines.com</t>
  </si>
  <si>
    <t>M &amp; R Operation staff</t>
  </si>
  <si>
    <t>HKHK1</t>
  </si>
  <si>
    <t>Ms.Mintra</t>
  </si>
  <si>
    <t>Kat</t>
  </si>
  <si>
    <t>Container repair</t>
  </si>
  <si>
    <t>662-204-7414</t>
  </si>
  <si>
    <t>mintra.p@bkk-tslines.com</t>
  </si>
  <si>
    <t>FINANCE DEPARTMENT</t>
  </si>
  <si>
    <t>account2@bkk-tslines.com</t>
  </si>
  <si>
    <t>SGSIN</t>
  </si>
  <si>
    <t>MYPPW</t>
  </si>
  <si>
    <t>INNSA</t>
  </si>
  <si>
    <t>INMUN</t>
  </si>
  <si>
    <t>PKKHI</t>
  </si>
  <si>
    <t>HONGKONG</t>
  </si>
  <si>
    <t>Deputy Supervisor</t>
  </si>
  <si>
    <t xml:space="preserve">Ms.Manee </t>
  </si>
  <si>
    <t>Ja</t>
  </si>
  <si>
    <t>AR &amp; AP</t>
  </si>
  <si>
    <t>662-204-7475</t>
  </si>
  <si>
    <r>
      <rPr>
        <sz val="12"/>
        <color rgb="FF000000"/>
        <rFont val="Calibri, sans-serif"/>
      </rPr>
      <t>manee@bkk-tslines.com</t>
    </r>
  </si>
  <si>
    <t>CCT</t>
  </si>
  <si>
    <t>DRY</t>
  </si>
  <si>
    <t>REEFER</t>
  </si>
  <si>
    <t xml:space="preserve">Ms.Rungnapa </t>
  </si>
  <si>
    <t>Kung</t>
  </si>
  <si>
    <t>Finance cashier</t>
  </si>
  <si>
    <t>662-204-7449</t>
  </si>
  <si>
    <t>rungnapa@bkk-tslines.com</t>
  </si>
  <si>
    <t xml:space="preserve">Ms.Benyatip </t>
  </si>
  <si>
    <t>AR</t>
  </si>
  <si>
    <t>662-204-7478</t>
  </si>
  <si>
    <t>benyatip@bkk-tslines.com</t>
  </si>
  <si>
    <t xml:space="preserve">Ms.Nadia </t>
  </si>
  <si>
    <t>Nadia</t>
  </si>
  <si>
    <t>AP SOA Weekly, container deposit refund</t>
  </si>
  <si>
    <t>662-204-7428</t>
  </si>
  <si>
    <t>nadia@bkk-tslines.com</t>
  </si>
  <si>
    <t xml:space="preserve">Ms.Tanunya </t>
  </si>
  <si>
    <t>Bew</t>
  </si>
  <si>
    <t>AP local</t>
  </si>
  <si>
    <t>662-204-7462</t>
  </si>
  <si>
    <t>tanunya@bkk-tslines.com</t>
  </si>
  <si>
    <t xml:space="preserve">Ms.Thanyaluk </t>
  </si>
  <si>
    <t>SHEKOU</t>
  </si>
  <si>
    <t>AP SOA Monthly</t>
  </si>
  <si>
    <t>662-204-7472</t>
  </si>
  <si>
    <t>thanyaluk@bkk-tslines.com</t>
  </si>
  <si>
    <t xml:space="preserve">Ms. Jenjira </t>
  </si>
  <si>
    <t>Jenny</t>
  </si>
  <si>
    <t>662-204-7469</t>
  </si>
  <si>
    <t>jenjira@bkk-tslines.com</t>
  </si>
  <si>
    <t>COUNTER</t>
  </si>
  <si>
    <t>HAITIAN</t>
  </si>
  <si>
    <t>XIAMEN</t>
  </si>
  <si>
    <t>Phase 3</t>
  </si>
  <si>
    <t>ICT</t>
  </si>
  <si>
    <t>INCHEON</t>
  </si>
  <si>
    <t>STOP</t>
  </si>
  <si>
    <t>OSAKA</t>
  </si>
  <si>
    <t xml:space="preserve">QQCTU </t>
  </si>
  <si>
    <t>QINGTAO</t>
  </si>
  <si>
    <t>KOBE</t>
  </si>
  <si>
    <t>WQ1</t>
  </si>
  <si>
    <t>SHANGHAI</t>
  </si>
  <si>
    <t>NAGOYA</t>
  </si>
  <si>
    <t>T/S CNSHA</t>
  </si>
  <si>
    <t>CNCKG</t>
  </si>
  <si>
    <t>CHONGQING</t>
  </si>
  <si>
    <t>SVT</t>
  </si>
  <si>
    <t>YOKOHAMA</t>
  </si>
  <si>
    <t>T/S CNXMN</t>
  </si>
  <si>
    <t>MANILA (N)</t>
  </si>
  <si>
    <t>14-16</t>
  </si>
  <si>
    <t>BKK - FRI</t>
  </si>
  <si>
    <t>WED 17.00</t>
  </si>
  <si>
    <t xml:space="preserve">Ms.Chutima </t>
  </si>
  <si>
    <t>Noi</t>
  </si>
  <si>
    <t>Issue receipt export</t>
  </si>
  <si>
    <t>662-204-7447</t>
  </si>
  <si>
    <t>chutima@bkk-tslines.com</t>
  </si>
  <si>
    <t xml:space="preserve">Mr.Jadsada </t>
  </si>
  <si>
    <t>Man</t>
  </si>
  <si>
    <t>662-204-7480</t>
  </si>
  <si>
    <t>jadsada@bkk-tslines.com</t>
  </si>
  <si>
    <t xml:space="preserve">Ms.Sawitree </t>
  </si>
  <si>
    <t>Joy</t>
  </si>
  <si>
    <t>Issue receipt import</t>
  </si>
  <si>
    <t>662-204-7448</t>
  </si>
  <si>
    <r>
      <rPr>
        <sz val="12"/>
        <color rgb="FF000000"/>
        <rFont val="Calibri, sans-serif"/>
      </rPr>
      <t>sawitree@bkk-tslines.com</t>
    </r>
  </si>
  <si>
    <t>TOKYO</t>
  </si>
  <si>
    <t>T/S CNSKU</t>
  </si>
  <si>
    <t>ANBIEN SKY V.N022</t>
  </si>
  <si>
    <t>PAT 2 #0252 / B3 # 2813</t>
  </si>
  <si>
    <t>CNHUA</t>
  </si>
  <si>
    <t>LCB OFFICE</t>
  </si>
  <si>
    <t>HUANGPU</t>
  </si>
  <si>
    <t>LINK B3</t>
  </si>
  <si>
    <t>T/S HKHK1</t>
  </si>
  <si>
    <t>CNYYT</t>
  </si>
  <si>
    <t>YANTIAN</t>
  </si>
  <si>
    <t>BKK - THU</t>
  </si>
  <si>
    <t>05/01 23.59</t>
  </si>
  <si>
    <t>I/B CS LCB Port Staff</t>
  </si>
  <si>
    <t>05/01 11.59</t>
  </si>
  <si>
    <t>06/01 11.59</t>
  </si>
  <si>
    <t>07/01 07.00</t>
  </si>
  <si>
    <t>ANSKN22</t>
  </si>
  <si>
    <t>PAT 2 0252</t>
  </si>
  <si>
    <t xml:space="preserve"> B3 2813</t>
  </si>
  <si>
    <t>CN111</t>
  </si>
  <si>
    <t>SANSHAN</t>
  </si>
  <si>
    <t>Ms.Kanchana</t>
  </si>
  <si>
    <t>(Ang)</t>
  </si>
  <si>
    <t>Release D/O Port LCB to inbound customer</t>
  </si>
  <si>
    <t>038-401040 /061-7281547</t>
  </si>
  <si>
    <t>NICT</t>
  </si>
  <si>
    <t>Kanchana@bkk-tslines.com</t>
  </si>
  <si>
    <t>KARACHI, PAKISTAN</t>
  </si>
  <si>
    <t>LCB - FRI</t>
  </si>
  <si>
    <t>WED 23.59</t>
  </si>
  <si>
    <t xml:space="preserve">CCT </t>
  </si>
  <si>
    <t>CNNGN</t>
  </si>
  <si>
    <t>NANGANG</t>
  </si>
  <si>
    <t>CNJJK</t>
  </si>
  <si>
    <t>JIANGMEN</t>
  </si>
  <si>
    <t>CN0NW(4)-CNSKU(5)-VNHCM(10)</t>
  </si>
  <si>
    <t>CNQNZ</t>
  </si>
  <si>
    <t>QINZHOU</t>
  </si>
  <si>
    <t>CNXNG</t>
  </si>
  <si>
    <t>TIANJIN XINGANG</t>
  </si>
  <si>
    <t>BEI LUN 2</t>
  </si>
  <si>
    <t>NINGBO</t>
  </si>
  <si>
    <t>NTX</t>
  </si>
  <si>
    <t>TS JAKARTA 25040N</t>
  </si>
  <si>
    <t>PAT 1 #0251 / SIAM COM#2809</t>
  </si>
  <si>
    <t xml:space="preserve">098-289-6172 
038-195-320 </t>
  </si>
  <si>
    <t>ASIA</t>
  </si>
  <si>
    <t>NHAVA SHEVA</t>
  </si>
  <si>
    <t>BARGE</t>
  </si>
  <si>
    <t>10/01 17.00</t>
  </si>
  <si>
    <t>10/01 23.59</t>
  </si>
  <si>
    <t>11/01 11.59</t>
  </si>
  <si>
    <t>12/01 12.00</t>
  </si>
  <si>
    <t>JKTB25040N</t>
  </si>
  <si>
    <t xml:space="preserve">WED </t>
  </si>
  <si>
    <t>INMAA</t>
  </si>
  <si>
    <t>CHENNAI</t>
  </si>
  <si>
    <t>VNHPN</t>
  </si>
  <si>
    <t>HAIPHONG</t>
  </si>
  <si>
    <t>HLS</t>
  </si>
  <si>
    <t>INDIA-PAKISTAN</t>
  </si>
  <si>
    <t>LCB - MON</t>
  </si>
  <si>
    <t>SAT 17.00</t>
  </si>
  <si>
    <t>BUSAN</t>
  </si>
  <si>
    <t>JPMOJ</t>
  </si>
  <si>
    <t>MOJI</t>
  </si>
  <si>
    <t>HKHKG(5)-CNSKU(6)-CN0NW(7)</t>
  </si>
  <si>
    <t>JPHKT</t>
  </si>
  <si>
    <t>HAKATA</t>
  </si>
  <si>
    <t>GOCT phase2</t>
  </si>
  <si>
    <t>MANILA(N)</t>
  </si>
  <si>
    <t>Hutchison</t>
  </si>
  <si>
    <t>TECT</t>
  </si>
  <si>
    <t>XINGANG</t>
  </si>
  <si>
    <t>SAWASDEE RIGEL 2514N</t>
  </si>
  <si>
    <t>PAT 1 #0251 / B3 #2813</t>
  </si>
  <si>
    <t>PHMNL</t>
  </si>
  <si>
    <t>MANILA(S)</t>
  </si>
  <si>
    <t>PSA</t>
  </si>
  <si>
    <t>SINGAPORE</t>
  </si>
  <si>
    <t>09/01 17.00</t>
  </si>
  <si>
    <t>DPCM</t>
  </si>
  <si>
    <t>CNDLC</t>
  </si>
  <si>
    <t>09/01 23.59</t>
  </si>
  <si>
    <t>DALIAN</t>
  </si>
  <si>
    <t>12/01 06.00</t>
  </si>
  <si>
    <t>SWRG2514N</t>
  </si>
  <si>
    <t>WSP</t>
  </si>
  <si>
    <t>PORT KLANG</t>
  </si>
  <si>
    <t>NSFT</t>
  </si>
  <si>
    <t>SERVICE</t>
  </si>
  <si>
    <t>AMCT</t>
  </si>
  <si>
    <t>MUNDRA</t>
  </si>
  <si>
    <t>SAPT</t>
  </si>
  <si>
    <t>KARACHI</t>
  </si>
  <si>
    <t>CY CUT OFF</t>
  </si>
  <si>
    <t>SI CUT OFF</t>
  </si>
  <si>
    <t>HANSA HOMBURG 0QIMIN1NC</t>
  </si>
  <si>
    <t>SAHATHAI #0520,#2801 / B5 #2815</t>
  </si>
  <si>
    <t>B/L CONFIRMATION CUT OFF</t>
  </si>
  <si>
    <t>LINK B5</t>
  </si>
  <si>
    <t>BKK/LKB</t>
  </si>
  <si>
    <t>04/01 23.59</t>
  </si>
  <si>
    <t>HHBG0QIMIN</t>
  </si>
  <si>
    <t>Aomi A0-2</t>
  </si>
  <si>
    <t>LKB/LCB</t>
  </si>
  <si>
    <t>BKK POD CHINA</t>
  </si>
  <si>
    <t>BKK POD OTHER</t>
  </si>
  <si>
    <t>HONMOKU D4</t>
  </si>
  <si>
    <t>LKB/LCB POD CHINA</t>
  </si>
  <si>
    <t>NCB</t>
  </si>
  <si>
    <t>LKB/LCB POD OTHER</t>
  </si>
  <si>
    <t>DICT</t>
  </si>
  <si>
    <t>PC-18</t>
  </si>
  <si>
    <t>JHTS</t>
  </si>
  <si>
    <t>Sun</t>
  </si>
  <si>
    <t>Mon</t>
  </si>
  <si>
    <t>PAT : FRI 17.00</t>
  </si>
  <si>
    <t>KERRY (2816) : SAT 23.59</t>
  </si>
  <si>
    <t>THU BEFORE 12:00</t>
  </si>
  <si>
    <t>FRI BEFORE 12:00</t>
  </si>
  <si>
    <t>THU BEFORE 15:00</t>
  </si>
  <si>
    <t>FRI BEFORE 15:00</t>
  </si>
  <si>
    <t>OMIT</t>
  </si>
  <si>
    <t>YTN(5)-SKU(6)-TYO(11)-YOK(12)-NGO(13)</t>
  </si>
  <si>
    <t>KCT*</t>
  </si>
  <si>
    <t>LITTLE DOLPHIN 2518N</t>
  </si>
  <si>
    <t>Tue</t>
  </si>
  <si>
    <t>PAT : SAT 23.59</t>
  </si>
  <si>
    <t>D1 (2840) : SUN 23.59</t>
  </si>
  <si>
    <t>PAT 1 #0251 / B5 # 2815</t>
  </si>
  <si>
    <t xml:space="preserve">KCT* WILL TERMINATE FM WEEK 47 </t>
  </si>
  <si>
    <t>PAT : SUN 23.59</t>
  </si>
  <si>
    <t>B3 (2813) : MON 23.59</t>
  </si>
  <si>
    <t>MON BEFORE 12:00</t>
  </si>
  <si>
    <t>06/01 23.59</t>
  </si>
  <si>
    <t>MON BEFORE 15:00</t>
  </si>
  <si>
    <t>08/01 17.00</t>
  </si>
  <si>
    <t>08/01 22.00</t>
  </si>
  <si>
    <t>LTDP2518N</t>
  </si>
  <si>
    <t>Wed</t>
  </si>
  <si>
    <t>PAT : SUN 11.59</t>
  </si>
  <si>
    <t>B5 (2815) : MON 11.59</t>
  </si>
  <si>
    <t>CHT* NEW ETD WED  FM WK 47</t>
  </si>
  <si>
    <t>Thu</t>
  </si>
  <si>
    <t>Fri</t>
  </si>
  <si>
    <t>PAT : TUE  11.59</t>
  </si>
  <si>
    <t>B5 (2815) : WED 11.59</t>
  </si>
  <si>
    <t>TUE BEFORE 12:00</t>
  </si>
  <si>
    <t>TS KWANGYANG 25017N</t>
  </si>
  <si>
    <t>12/01 11.59</t>
  </si>
  <si>
    <t>TUE BEFORE 15:00</t>
  </si>
  <si>
    <t>13/01 07.00</t>
  </si>
  <si>
    <t>13/01 11.59</t>
  </si>
  <si>
    <t>14/01 08.00</t>
  </si>
  <si>
    <t>KWYA25017N</t>
  </si>
  <si>
    <t>NSP1*</t>
  </si>
  <si>
    <t>LKB : MON 17.00</t>
  </si>
  <si>
    <t>B5 (2815) : TUE 23.59</t>
  </si>
  <si>
    <t>TS TIANJIN 25014N</t>
  </si>
  <si>
    <t>16/01 17.00</t>
  </si>
  <si>
    <t>17/01 04.00</t>
  </si>
  <si>
    <t>17/01 11.59</t>
  </si>
  <si>
    <t>18/01 12.00</t>
  </si>
  <si>
    <t>TSNA25014N</t>
  </si>
  <si>
    <t>CPX*</t>
  </si>
  <si>
    <t>LKB : SUN 17.00</t>
  </si>
  <si>
    <t>B5 (2815) : MON 23.59</t>
  </si>
  <si>
    <t>*AD-HOC*,,  LKB/LCB only</t>
  </si>
  <si>
    <t>CPX#</t>
  </si>
  <si>
    <t>SHUN LONG 0QIMKN1NC</t>
  </si>
  <si>
    <t>CPX</t>
  </si>
  <si>
    <t>LKB : SAT 17.00</t>
  </si>
  <si>
    <t>B5 (2815) : SUN 23.59</t>
  </si>
  <si>
    <t>15/01 23.59</t>
  </si>
  <si>
    <t>16/01 23.59</t>
  </si>
  <si>
    <t>17/01 23.59</t>
  </si>
  <si>
    <t>SHLO0QIMKN</t>
  </si>
  <si>
    <t>MBX*</t>
  </si>
  <si>
    <t>*AD-HOC*</t>
  </si>
  <si>
    <t>TRX*</t>
  </si>
  <si>
    <t>PAT : WED 23.59</t>
  </si>
  <si>
    <t>KMTC POHANG 2516N</t>
  </si>
  <si>
    <t>B3 (2813) : THU 23.59</t>
  </si>
  <si>
    <t>TEU BEFORE 12:00</t>
  </si>
  <si>
    <t>WED BEFORE 15:00</t>
  </si>
  <si>
    <r>
      <rPr>
        <i/>
        <sz val="9"/>
        <color rgb="FF000000"/>
        <rFont val="Tahoma"/>
        <family val="2"/>
      </rPr>
      <t xml:space="preserve">PAT 1 #0251 / </t>
    </r>
    <r>
      <rPr>
        <i/>
        <sz val="9"/>
        <color rgb="FF000000"/>
        <rFont val="Tahoma"/>
        <family val="2"/>
      </rPr>
      <t>C3 # 2820</t>
    </r>
  </si>
  <si>
    <t>TRX#</t>
  </si>
  <si>
    <t>LINK C3</t>
  </si>
  <si>
    <t>B3 (2813) : SUN 23.59</t>
  </si>
  <si>
    <t>11/01 23.59</t>
  </si>
  <si>
    <t>14/01 01.00</t>
  </si>
  <si>
    <t>KPHG2516N</t>
  </si>
  <si>
    <t>NV1</t>
  </si>
  <si>
    <t>Sat</t>
  </si>
  <si>
    <t>LKB : WED 23.59</t>
  </si>
  <si>
    <t>WED BEFORE 12:00</t>
  </si>
  <si>
    <t>ANBIEN SKY V.N023</t>
  </si>
  <si>
    <t>MBX#</t>
  </si>
  <si>
    <t>LKB : TUE 23.59</t>
  </si>
  <si>
    <t>19/01 11.59</t>
  </si>
  <si>
    <t>19/01 23.59</t>
  </si>
  <si>
    <t>20/01 11.59</t>
  </si>
  <si>
    <t>22/01 10.00</t>
  </si>
  <si>
    <t>B3 (2813) : WED 23.59</t>
  </si>
  <si>
    <t>ASNSKN023</t>
  </si>
  <si>
    <t>NSP</t>
  </si>
  <si>
    <t>JARU BHUM 162N</t>
  </si>
  <si>
    <t>18/01 23.59</t>
  </si>
  <si>
    <t>18/01 18.00</t>
  </si>
  <si>
    <t>21/01 03.00</t>
  </si>
  <si>
    <t>JBHM162N</t>
  </si>
  <si>
    <t>TRANSIT TIME FROM BANGKOK/LAEM CHABANG</t>
  </si>
  <si>
    <t>ASL HONG KONG 0QIMMN</t>
  </si>
  <si>
    <t>22/01 23.59</t>
  </si>
  <si>
    <t>23/01 18.00</t>
  </si>
  <si>
    <t>24/01 11.59</t>
  </si>
  <si>
    <t>25/01 03.00</t>
  </si>
  <si>
    <t>ASHK0QIMMN</t>
  </si>
  <si>
    <t>5/4</t>
  </si>
  <si>
    <t>6/5</t>
  </si>
  <si>
    <t>13/12</t>
  </si>
  <si>
    <t>10/9</t>
  </si>
  <si>
    <t>11/10</t>
  </si>
  <si>
    <t>JP TEMPORARY SCHEDULE</t>
  </si>
  <si>
    <t>KCT</t>
  </si>
  <si>
    <t>9/8</t>
  </si>
  <si>
    <t>11/9</t>
  </si>
  <si>
    <t>KMTC GWANGYANG 2601N</t>
  </si>
  <si>
    <t>PAT 1 #0251 / B5 #2815</t>
  </si>
  <si>
    <t>14/13</t>
  </si>
  <si>
    <t>15/14</t>
  </si>
  <si>
    <t>16/15</t>
  </si>
  <si>
    <t>26/01 23.59</t>
  </si>
  <si>
    <t>27/01 10.00</t>
  </si>
  <si>
    <t>28/01 11.59</t>
  </si>
  <si>
    <t>29/01 18.00</t>
  </si>
  <si>
    <t>KGWA2601N</t>
  </si>
  <si>
    <t>LKB/LCB only</t>
  </si>
  <si>
    <t>12/11</t>
  </si>
  <si>
    <t>8/7</t>
  </si>
  <si>
    <t>TS OSAKA 26001N</t>
  </si>
  <si>
    <t>15/01 11.59</t>
  </si>
  <si>
    <t>17/01 10.00</t>
  </si>
  <si>
    <t>OSAB26001N</t>
  </si>
  <si>
    <t>CANCEL CALL SHA (13 DEC) // ADD CALL HK</t>
  </si>
  <si>
    <t>TS KWANGYANG 26001N</t>
  </si>
  <si>
    <t>28/01 23.59</t>
  </si>
  <si>
    <t>29/01 11.59</t>
  </si>
  <si>
    <t>30/01 07.00</t>
  </si>
  <si>
    <t>KYWA26001N</t>
  </si>
  <si>
    <t>TS JAKARTA 26001N</t>
  </si>
  <si>
    <t>27/01 23.59</t>
  </si>
  <si>
    <t>28/01 06.00</t>
  </si>
  <si>
    <t>29/01 09.00</t>
  </si>
  <si>
    <t>GROUP 1 FOR SALES: THIPPANARD/ NATTAPAT/ NITHID</t>
  </si>
  <si>
    <t>JKTB26001N</t>
  </si>
  <si>
    <t>BKKEXP2@BKK-TSLINES.COM</t>
  </si>
  <si>
    <t>GROUP 2 FOR SALES: CHTIMA/ SUPATSARA</t>
  </si>
  <si>
    <t>HAIAN EAST 0QIMON1NC</t>
  </si>
  <si>
    <t>24/01 23.59</t>
  </si>
  <si>
    <t>25/01 08.00</t>
  </si>
  <si>
    <t>25/01 11.59</t>
  </si>
  <si>
    <t>26/01 08.00</t>
  </si>
  <si>
    <t>HAET0QIMON</t>
  </si>
  <si>
    <t>VGM@BKK-TSLINES.COM</t>
  </si>
  <si>
    <t>FOR VGM</t>
  </si>
  <si>
    <t>LITTLE DOLPHIN 2601N</t>
  </si>
  <si>
    <t>29/01 23.59</t>
  </si>
  <si>
    <t>30/01 05.00</t>
  </si>
  <si>
    <t>31/01 17.00</t>
  </si>
  <si>
    <t>01/02 14.00</t>
  </si>
  <si>
    <t>LTDP2601N</t>
  </si>
  <si>
    <t>ANBIEN SKY V.N024</t>
  </si>
  <si>
    <t>08/02 11.59</t>
  </si>
  <si>
    <t>08/02 23.59</t>
  </si>
  <si>
    <t>10/02 11.59</t>
  </si>
  <si>
    <t>11/02 06.00</t>
  </si>
  <si>
    <t>ANSKN024</t>
  </si>
  <si>
    <t>CN0NW(4)-CNSKU(5)</t>
  </si>
  <si>
    <t>JARU BHUM 163N</t>
  </si>
  <si>
    <t>05/02 11.59</t>
  </si>
  <si>
    <t>05/02 17.00</t>
  </si>
  <si>
    <t>06/02 11.59</t>
  </si>
  <si>
    <t>07/02 07.00</t>
  </si>
  <si>
    <t>JBHM163N</t>
  </si>
  <si>
    <t>SAWASDEE MIMOSA 2601N</t>
  </si>
  <si>
    <t>06/02 17.00</t>
  </si>
  <si>
    <t>06/02 23.59</t>
  </si>
  <si>
    <t>09/02 05.00</t>
  </si>
  <si>
    <t>SWMS2601N</t>
  </si>
  <si>
    <t>KMTC POHANG 2601N</t>
  </si>
  <si>
    <t>03/02 11.59</t>
  </si>
  <si>
    <t>03/02 23.59</t>
  </si>
  <si>
    <t>04/02 17.00</t>
  </si>
  <si>
    <t>05/02 08.00</t>
  </si>
  <si>
    <t>KPHG2601N</t>
  </si>
  <si>
    <t>TS KWANGYANG 26002N</t>
  </si>
  <si>
    <t>16/02 11.59</t>
  </si>
  <si>
    <t>16/02 23.59</t>
  </si>
  <si>
    <t>18/02 11.59</t>
  </si>
  <si>
    <t>17/02 11.59</t>
  </si>
  <si>
    <t>19/02 18.00</t>
  </si>
  <si>
    <t>KWYA26002N</t>
  </si>
  <si>
    <t>TS JAKARTA 26002N</t>
  </si>
  <si>
    <t>14/02 11.59</t>
  </si>
  <si>
    <t>14/02 23.59</t>
  </si>
  <si>
    <t>15/02 23.59</t>
  </si>
  <si>
    <t>16/02 07.00</t>
  </si>
  <si>
    <t>JKTB26002N</t>
  </si>
  <si>
    <t>TS TIANJIN 26001N</t>
  </si>
  <si>
    <t>15/02 05.00</t>
  </si>
  <si>
    <t>17/02 03.00</t>
  </si>
  <si>
    <t>TSNA26001N</t>
  </si>
  <si>
    <t>TS OSAKA 26002N</t>
  </si>
  <si>
    <t>06/02 18.00</t>
  </si>
  <si>
    <t>07/02 23.59</t>
  </si>
  <si>
    <t>08/02 20.00</t>
  </si>
  <si>
    <t>OSAB26002N</t>
  </si>
  <si>
    <t>ANBIEN SKY V.N025</t>
  </si>
  <si>
    <t>27/02 11.59</t>
  </si>
  <si>
    <t>27/02 23.59</t>
  </si>
  <si>
    <t>28/02 11.59</t>
  </si>
  <si>
    <t>01/03 04.00</t>
  </si>
  <si>
    <t>ANSKN025</t>
  </si>
  <si>
    <t>KMTC GWANGYANG 2602N</t>
  </si>
  <si>
    <t>21/02 11.59</t>
  </si>
  <si>
    <t>21/02 15.00</t>
  </si>
  <si>
    <t>22/02 11.59</t>
  </si>
  <si>
    <t>23/02 17.00</t>
  </si>
  <si>
    <t>KGWA2602N</t>
  </si>
  <si>
    <t>LITTLE DOLPHIN 2602N</t>
  </si>
  <si>
    <t>20/02 23.59</t>
  </si>
  <si>
    <t>21/02 04.00</t>
  </si>
  <si>
    <t>23/02 05.00</t>
  </si>
  <si>
    <t>LTDP2602N</t>
  </si>
  <si>
    <t>TS KWANGYANG 26003N</t>
  </si>
  <si>
    <t>03/03 23.59</t>
  </si>
  <si>
    <t>04/03 11.59</t>
  </si>
  <si>
    <t>04/03 23.59</t>
  </si>
  <si>
    <t>06/03 07.00</t>
  </si>
  <si>
    <t>KWYA26003N</t>
  </si>
  <si>
    <t>JARU BHUM 164N</t>
  </si>
  <si>
    <t>20/02 17.00</t>
  </si>
  <si>
    <t>21/02 17.00</t>
  </si>
  <si>
    <t>22/02 15.00</t>
  </si>
  <si>
    <t>JBHM164N</t>
  </si>
  <si>
    <t>SAWASDEE MIMOSA 2602N</t>
  </si>
  <si>
    <t>03/03 11.59</t>
  </si>
  <si>
    <t>05/03 11.59</t>
  </si>
  <si>
    <t>06/03 18.00</t>
  </si>
  <si>
    <t>SWMS2602N</t>
  </si>
  <si>
    <t>KMTC POHANG 2602N</t>
  </si>
  <si>
    <t>23/02 11.59</t>
  </si>
  <si>
    <t>23/02 23.59</t>
  </si>
  <si>
    <t>24/02 11.59</t>
  </si>
  <si>
    <t>25/02 23.00</t>
  </si>
  <si>
    <t>KPHG2602N</t>
  </si>
  <si>
    <t>TS JAKARTA 26003N</t>
  </si>
  <si>
    <t>01/03 11.59</t>
  </si>
  <si>
    <t>01/03 20.00</t>
  </si>
  <si>
    <t>02/03 17.00</t>
  </si>
  <si>
    <t>03/03 14.00</t>
  </si>
  <si>
    <t>JKTB26003N</t>
  </si>
  <si>
    <t>TS TIANJIN 26002N</t>
  </si>
  <si>
    <t>11/03 11.59</t>
  </si>
  <si>
    <t>11/03 23.59</t>
  </si>
  <si>
    <t>13/03 11.59</t>
  </si>
  <si>
    <t>14/03 23.00</t>
  </si>
  <si>
    <t>TSNA26002N</t>
  </si>
  <si>
    <t>TS OSAKA 26003N</t>
  </si>
  <si>
    <t>25/02 11.59</t>
  </si>
  <si>
    <t>25/02 23.59</t>
  </si>
  <si>
    <t>27/02 17.00</t>
  </si>
  <si>
    <t>28/02 05.00</t>
  </si>
  <si>
    <t>OSAB26003N</t>
  </si>
  <si>
    <t>JARU BHUM 165N</t>
  </si>
  <si>
    <t>07/03 17.00</t>
  </si>
  <si>
    <t>07/03 23.59</t>
  </si>
  <si>
    <t>08/03 17.00</t>
  </si>
  <si>
    <t>09/03 01.00</t>
  </si>
  <si>
    <t>JBHM165N</t>
  </si>
  <si>
    <t>LITTLE DOLPHIN 2603N</t>
  </si>
  <si>
    <t>12/03 17.00</t>
  </si>
  <si>
    <t>14/03 11.59</t>
  </si>
  <si>
    <t>14/03 22.00</t>
  </si>
  <si>
    <t>LTDP2603N</t>
  </si>
  <si>
    <t>ANBIEN SKY V.N026</t>
  </si>
  <si>
    <t>13/03 19.00</t>
  </si>
  <si>
    <t>15/03 04.00</t>
  </si>
  <si>
    <t>ANSKN026</t>
  </si>
  <si>
    <t>TS JAKARTA 26004N</t>
  </si>
  <si>
    <t>17/03 17.00</t>
  </si>
  <si>
    <t>17/03 23.59</t>
  </si>
  <si>
    <t>19/03 11.59</t>
  </si>
  <si>
    <t>20/03 11.00</t>
  </si>
  <si>
    <t>JKTB26004N</t>
  </si>
  <si>
    <t>KMTC GWANGYANG 2603N</t>
  </si>
  <si>
    <r>
      <rPr>
        <i/>
        <sz val="9"/>
        <color rgb="FF000000"/>
        <rFont val="Tahoma"/>
        <family val="2"/>
      </rPr>
      <t xml:space="preserve">PAT 1 #0251 / </t>
    </r>
    <r>
      <rPr>
        <i/>
        <sz val="9"/>
        <color rgb="FF000000"/>
        <rFont val="Tahoma"/>
        <family val="2"/>
      </rPr>
      <t>TIPS B4 #2814</t>
    </r>
  </si>
  <si>
    <t>038-408-400</t>
  </si>
  <si>
    <t>18/03 23.59</t>
  </si>
  <si>
    <t>19/03 05.00</t>
  </si>
  <si>
    <t>20/03 11.59</t>
  </si>
  <si>
    <t>21/03 09.00</t>
  </si>
  <si>
    <t>KGWA2603N</t>
  </si>
  <si>
    <t>KMTC POHANG 2603N</t>
  </si>
  <si>
    <r>
      <rPr>
        <i/>
        <sz val="9"/>
        <color rgb="FF000000"/>
        <rFont val="Tahoma"/>
        <family val="2"/>
      </rPr>
      <t xml:space="preserve">PAT 1 #0251 / </t>
    </r>
    <r>
      <rPr>
        <i/>
        <sz val="9"/>
        <color rgb="FF000000"/>
        <rFont val="Tahoma"/>
        <family val="2"/>
      </rPr>
      <t>TIPS B4 #2814</t>
    </r>
  </si>
  <si>
    <t>14/03 23.59</t>
  </si>
  <si>
    <t>15/03 03.00</t>
  </si>
  <si>
    <t>16/03 11.59</t>
  </si>
  <si>
    <t>16/03 12.00</t>
  </si>
  <si>
    <t>KPHG2603N</t>
  </si>
  <si>
    <t>TS KWANGYANG 26004N</t>
  </si>
  <si>
    <t>20/03 23.59</t>
  </si>
  <si>
    <t>22/03 11.59</t>
  </si>
  <si>
    <t>23/03 04.00</t>
  </si>
  <si>
    <t>KWYA26004N</t>
  </si>
  <si>
    <t>JARU BHUM 166N</t>
  </si>
  <si>
    <t>21/03 17.00</t>
  </si>
  <si>
    <t>21/03 21.00</t>
  </si>
  <si>
    <t>22/03 17.00</t>
  </si>
  <si>
    <t>23/03 16.00</t>
  </si>
  <si>
    <t>JBHM166N</t>
  </si>
  <si>
    <t>SAWASDEE MIMOSA 2603N</t>
  </si>
  <si>
    <t>30/03 11.59</t>
  </si>
  <si>
    <t>30/03 17.00</t>
  </si>
  <si>
    <t>01/04 19.00</t>
  </si>
  <si>
    <t>03/04 18.00</t>
  </si>
  <si>
    <t>SWMS2603N</t>
  </si>
  <si>
    <t>TS OSAKA 26004N</t>
  </si>
  <si>
    <t>18/03 11.59</t>
  </si>
  <si>
    <t>18/03 18.00</t>
  </si>
  <si>
    <t>19/03 23.59</t>
  </si>
  <si>
    <t>20/03 16.00</t>
  </si>
  <si>
    <t>OSAB26004N</t>
  </si>
  <si>
    <t>ANBIEN SKY V.N027</t>
  </si>
  <si>
    <t>29/03 11.59</t>
  </si>
  <si>
    <t>29/03 17.00</t>
  </si>
  <si>
    <t>31/03 11.59</t>
  </si>
  <si>
    <t>01/04 02.00</t>
  </si>
  <si>
    <t>ANSKN027</t>
  </si>
  <si>
    <t>TS JAKARTA 26005N</t>
  </si>
  <si>
    <t>01/04 11.59</t>
  </si>
  <si>
    <t>01/04 23.59</t>
  </si>
  <si>
    <t>02/04 11.59</t>
  </si>
  <si>
    <t>03/04 22.00</t>
  </si>
  <si>
    <t>JKTB26005N</t>
  </si>
  <si>
    <t>TS TIANJIN 26003N</t>
  </si>
  <si>
    <t>08/04 23.59</t>
  </si>
  <si>
    <t>09/04 23.59</t>
  </si>
  <si>
    <t>10/04 22.00</t>
  </si>
  <si>
    <t>TSNA26003N</t>
  </si>
  <si>
    <t>LITTLE DOLPHIN 2604N</t>
  </si>
  <si>
    <t>03/04 11.59</t>
  </si>
  <si>
    <t>04/04 01.00</t>
  </si>
  <si>
    <t>04/03 01.00</t>
  </si>
  <si>
    <t>05/04 11.59</t>
  </si>
  <si>
    <t>06/04 03.00</t>
  </si>
  <si>
    <t>LTDP2604N</t>
  </si>
  <si>
    <t>ZHONG GU XIA MEN 26003N</t>
  </si>
  <si>
    <t>SAHATHAI #0520,#0821 / C3 # 2820</t>
  </si>
  <si>
    <t>29/03 23.59</t>
  </si>
  <si>
    <t>30/03 06.00</t>
  </si>
  <si>
    <t>31/03 14.00</t>
  </si>
  <si>
    <t>ZGXM26003N</t>
  </si>
  <si>
    <t>HKHKG(4)-CN0NW(5)-CNXNG(10)-CNDLN(11)-CNTAO(13)</t>
  </si>
  <si>
    <t>TS KWANGYANG 26005N</t>
  </si>
  <si>
    <t>04/04 11.59</t>
  </si>
  <si>
    <t>04/04 23.59</t>
  </si>
  <si>
    <t>06/04 18.00</t>
  </si>
  <si>
    <t>KWYA26005N</t>
  </si>
  <si>
    <t>JARU BHUM 167N</t>
  </si>
  <si>
    <t>05/04 17.00</t>
  </si>
  <si>
    <t>05/04 23.59</t>
  </si>
  <si>
    <t>06/04 17.00</t>
  </si>
  <si>
    <t>07/04 17.00</t>
  </si>
  <si>
    <t>JBHM167N</t>
  </si>
  <si>
    <t>KMTC GWANGYANG 2604N</t>
  </si>
  <si>
    <t>15/04 11.59</t>
  </si>
  <si>
    <t>15/04 17.00</t>
  </si>
  <si>
    <t>16/04 11.59</t>
  </si>
  <si>
    <t>17/04 13.00</t>
  </si>
  <si>
    <t>KGWA2604N</t>
  </si>
  <si>
    <t>KMTC POHANG 2604N</t>
  </si>
  <si>
    <t>06/04 23.59</t>
  </si>
  <si>
    <t>07/04 23.59</t>
  </si>
  <si>
    <t>09/04 19.00</t>
  </si>
  <si>
    <t>KPHG2604N</t>
  </si>
  <si>
    <t>MATOYA BAY 0N80JN1NC</t>
  </si>
  <si>
    <t>09/04 18.00</t>
  </si>
  <si>
    <t>10/04 18.00</t>
  </si>
  <si>
    <t>MTYB0N80JN</t>
  </si>
  <si>
    <t>ANBIEN SKY V.N028</t>
  </si>
  <si>
    <t>SAHATHAI #0520,#0821 / B3 # 2813</t>
  </si>
  <si>
    <t>11/04 17.00</t>
  </si>
  <si>
    <t>12/04 13.00</t>
  </si>
  <si>
    <t>12/04 17.00</t>
  </si>
  <si>
    <t>14/04 19.00</t>
  </si>
  <si>
    <t>ANSKN028</t>
  </si>
  <si>
    <t>TS XIAMEN 26007N</t>
  </si>
  <si>
    <t>10/04 11.59</t>
  </si>
  <si>
    <t>10/04 17.00</t>
  </si>
  <si>
    <t>11/04 11.59</t>
  </si>
  <si>
    <t>12/04 06.00</t>
  </si>
  <si>
    <t>XMNB26007N</t>
  </si>
  <si>
    <t>TS OSAKA 26005N</t>
  </si>
  <si>
    <t>10/04 23.59</t>
  </si>
  <si>
    <t>12/04 05.00</t>
  </si>
  <si>
    <t>OSAB26005N</t>
  </si>
  <si>
    <t>CNC LEOPARD 0N80LN1NC</t>
  </si>
  <si>
    <t>11/04 08.00</t>
  </si>
  <si>
    <t>12/04 08.00</t>
  </si>
  <si>
    <t>CLOP0N80LN</t>
  </si>
  <si>
    <t>TS JAKARTA 26006N</t>
  </si>
  <si>
    <t>18/04 17.00</t>
  </si>
  <si>
    <t>18/04 23.59</t>
  </si>
  <si>
    <t>19/04 17.00</t>
  </si>
  <si>
    <t>20/04 17.00</t>
  </si>
  <si>
    <t>JKTB26006N</t>
  </si>
  <si>
    <t>JARU BHUM 168N</t>
  </si>
  <si>
    <t>19/04 23.59</t>
  </si>
  <si>
    <t>20/04 23.59</t>
  </si>
  <si>
    <t>21/04 09.00</t>
  </si>
  <si>
    <t>JBHM168N</t>
  </si>
  <si>
    <t>SAWASDEE MIMOSA 2604N</t>
  </si>
  <si>
    <r>
      <t xml:space="preserve">PAT 1 #0251 / </t>
    </r>
    <r>
      <rPr>
        <i/>
        <sz val="9"/>
        <color rgb="FF000000"/>
        <rFont val="Tahoma"/>
        <family val="2"/>
      </rPr>
      <t>B3 #2813</t>
    </r>
  </si>
  <si>
    <t>27/04 23.59</t>
  </si>
  <si>
    <t>28/04 11.59</t>
  </si>
  <si>
    <t>29/04 14.00</t>
  </si>
  <si>
    <t>SWMS2604N</t>
  </si>
  <si>
    <t>SKY SUNSHINE 2604N</t>
  </si>
  <si>
    <t>14/04 23.59</t>
  </si>
  <si>
    <t>16/04 17.00</t>
  </si>
  <si>
    <t>17/04 15.00</t>
  </si>
  <si>
    <t>SKSH264N</t>
  </si>
  <si>
    <t>CNC JAGUAR 0N80NN1NC</t>
  </si>
  <si>
    <r>
      <rPr>
        <i/>
        <sz val="9"/>
        <color rgb="FF000000"/>
        <rFont val="Tahoma"/>
        <family val="2"/>
      </rPr>
      <t xml:space="preserve">SAHATHAI #0520,#0821 / </t>
    </r>
    <r>
      <rPr>
        <i/>
        <sz val="9"/>
        <color rgb="FF000000"/>
        <rFont val="Tahoma"/>
        <family val="2"/>
      </rPr>
      <t>C3 # 2820</t>
    </r>
  </si>
  <si>
    <t>LCIT C3</t>
  </si>
  <si>
    <t>17/04 23.59</t>
  </si>
  <si>
    <t>18/04 13.00</t>
  </si>
  <si>
    <t>19/04 13.00</t>
  </si>
  <si>
    <t>ANBIEN SKY V.N029</t>
  </si>
  <si>
    <t>26/04 17.00</t>
  </si>
  <si>
    <t>27/04 14.00</t>
  </si>
  <si>
    <t>28//04 14.00</t>
  </si>
  <si>
    <t>ANSKN029</t>
  </si>
  <si>
    <t>TS XIAMEN 2608N</t>
  </si>
  <si>
    <t>24/04 23.59</t>
  </si>
  <si>
    <t>25/04 08.00</t>
  </si>
  <si>
    <t>25/04 23.59</t>
  </si>
  <si>
    <t>27/04 05.00</t>
  </si>
  <si>
    <t>XMNB2608N</t>
  </si>
  <si>
    <t>TS TIANJIN 26004N</t>
  </si>
  <si>
    <t>05/05 23.59</t>
  </si>
  <si>
    <t>07/05 23.59</t>
  </si>
  <si>
    <t>08/05 22.00</t>
  </si>
  <si>
    <t>TSNA26004N</t>
  </si>
  <si>
    <t>LITTLE DOLPHIN 2605N</t>
  </si>
  <si>
    <t>23/04 17.00</t>
  </si>
  <si>
    <t>24/04 04.00</t>
  </si>
  <si>
    <t>26/04 11.59</t>
  </si>
  <si>
    <t>26/04 22.00</t>
  </si>
  <si>
    <t>LTDP2605N</t>
  </si>
  <si>
    <t>ZHONG GU NAN JING 2601W</t>
  </si>
  <si>
    <t>SAHATHAI #0520,#0821 / D1 # 2840</t>
  </si>
  <si>
    <t>LINK D1</t>
  </si>
  <si>
    <t>22/04 23.59</t>
  </si>
  <si>
    <t>23/04 22.00</t>
  </si>
  <si>
    <t>23/04 23.59</t>
  </si>
  <si>
    <t>24/04 22.00</t>
  </si>
  <si>
    <t>SGSIN(4)-MYPPW(6)-INNSA(14)-INMUN(16)-PKKHI(18)</t>
  </si>
  <si>
    <t>ZHONG GU XIA MEN 2604N</t>
  </si>
  <si>
    <r>
      <rPr>
        <i/>
        <sz val="9"/>
        <color theme="1"/>
        <rFont val="Tahoma"/>
        <family val="2"/>
      </rPr>
      <t xml:space="preserve">SAHATHAI #0520,#0821 / </t>
    </r>
    <r>
      <rPr>
        <i/>
        <sz val="9"/>
        <color theme="1"/>
        <rFont val="Tahoma"/>
        <family val="2"/>
      </rPr>
      <t>B5 # 2815</t>
    </r>
  </si>
  <si>
    <t>LINK  B5</t>
  </si>
  <si>
    <t>29/04 08.00</t>
  </si>
  <si>
    <t>ZGXM2604N</t>
  </si>
  <si>
    <t>TS JAKARTA 2607N</t>
  </si>
  <si>
    <t>02/05 17.00</t>
  </si>
  <si>
    <t>02/05 23.59</t>
  </si>
  <si>
    <t>03/05 11.59</t>
  </si>
  <si>
    <t>04/05 22.00</t>
  </si>
  <si>
    <t>JKTB2607N</t>
  </si>
  <si>
    <t>JARU BHUM 169N</t>
  </si>
  <si>
    <t>02/05 11.59</t>
  </si>
  <si>
    <t>03/05 17.00</t>
  </si>
  <si>
    <t>04/05 21.00</t>
  </si>
  <si>
    <t>JBHM169N</t>
  </si>
  <si>
    <t>KMTC GWANGYANG 2605N</t>
  </si>
  <si>
    <t>10/05 23.59</t>
  </si>
  <si>
    <t>13/05 11.59</t>
  </si>
  <si>
    <t>14/05 16.00</t>
  </si>
  <si>
    <t>KGWA2605N</t>
  </si>
  <si>
    <t>TS OSAKA 2606N</t>
  </si>
  <si>
    <t>30/04 23.59</t>
  </si>
  <si>
    <t>01/05 11.59</t>
  </si>
  <si>
    <t>04/05 05.00</t>
  </si>
  <si>
    <t>OSAB2606N</t>
  </si>
  <si>
    <t>MATOYA BAY 0N80RN1NC</t>
  </si>
  <si>
    <t>06/05 18.00</t>
  </si>
  <si>
    <t>06/05 23.59</t>
  </si>
  <si>
    <t>07/05 21.00</t>
  </si>
  <si>
    <t>MTYB08N0RN</t>
  </si>
  <si>
    <t>ANBIEN SKY V.N030</t>
  </si>
  <si>
    <t>SAHATHAI #0520,#2801 / B3 # 2813</t>
  </si>
  <si>
    <t>12/05 17.00</t>
  </si>
  <si>
    <t>12/05 23.59</t>
  </si>
  <si>
    <t>13/05 23.59</t>
  </si>
  <si>
    <t>14/05 14.00</t>
  </si>
  <si>
    <t>ANSKN030</t>
  </si>
  <si>
    <t>TS XIAMEN 2609N</t>
  </si>
  <si>
    <t>09/05 17.00</t>
  </si>
  <si>
    <t>12/05 08.00</t>
  </si>
  <si>
    <t>XMNB2609N</t>
  </si>
  <si>
    <t>KMTC TOKYO 2605N</t>
  </si>
  <si>
    <t>05/05 11.59</t>
  </si>
  <si>
    <t>06/05 17.00</t>
  </si>
  <si>
    <t>07/05 18.00</t>
  </si>
  <si>
    <t>X-PRESS ANGLESEY 2601W</t>
  </si>
  <si>
    <t>SAHATHAI #0520,#2801 / D1 # 2840</t>
  </si>
  <si>
    <t>07/05 19.00</t>
  </si>
  <si>
    <t>08/05 20.00</t>
  </si>
  <si>
    <t>CNC LEOPARD 0N80TN1NC</t>
  </si>
  <si>
    <t>SAHATHAI #0520,#2801/ C3 # 2820</t>
  </si>
  <si>
    <t>08/05 11.59</t>
  </si>
  <si>
    <t>08/05 10.00</t>
  </si>
  <si>
    <t>08/05 23.59</t>
  </si>
  <si>
    <t>09/05 13.00</t>
  </si>
  <si>
    <t>TS JAKARTA 2608N</t>
  </si>
  <si>
    <t>16/05 23.59</t>
  </si>
  <si>
    <t>17/05 17.00</t>
  </si>
  <si>
    <t>19/05 12.00</t>
  </si>
  <si>
    <t>JKTB2608N</t>
  </si>
  <si>
    <t>VGI</t>
  </si>
  <si>
    <t>ZHONG GU SHEN YANG 2620W</t>
  </si>
  <si>
    <t>SAHATHAI #0520,#0821 / C1C2 # 2836</t>
  </si>
  <si>
    <t>LINK C1C2</t>
  </si>
  <si>
    <t>18/05 11.59</t>
  </si>
  <si>
    <t>18/05 23.59</t>
  </si>
  <si>
    <t>19/05 11.59</t>
  </si>
  <si>
    <t>19/05 23.59</t>
  </si>
  <si>
    <t>INNSA(12)</t>
  </si>
  <si>
    <t>JARU BHUM 170N</t>
  </si>
  <si>
    <t>15/05 11.59</t>
  </si>
  <si>
    <t>15/05 23.59</t>
  </si>
  <si>
    <t>16/05 11.59</t>
  </si>
  <si>
    <t>17/05 20.00</t>
  </si>
  <si>
    <t>JBHM170N</t>
  </si>
  <si>
    <t>SAWASDEE MIMOSA 2605N</t>
  </si>
  <si>
    <r>
      <rPr>
        <i/>
        <sz val="9"/>
        <color rgb="FF000000"/>
        <rFont val="Tahoma"/>
        <family val="2"/>
      </rPr>
      <t xml:space="preserve">PAT 1 #0251 / </t>
    </r>
    <r>
      <rPr>
        <i/>
        <sz val="9"/>
        <color rgb="FF000000"/>
        <rFont val="Tahoma"/>
        <family val="2"/>
      </rPr>
      <t>B3 #2813</t>
    </r>
  </si>
  <si>
    <t>24/05 17.00</t>
  </si>
  <si>
    <t>25/05 23.59</t>
  </si>
  <si>
    <t>27/05 11.59</t>
  </si>
  <si>
    <t>28/05 15.00</t>
  </si>
  <si>
    <t>SWMS2605N</t>
  </si>
  <si>
    <t>LITTLE DOLPHIN 2606N</t>
  </si>
  <si>
    <t>13/05 17.00</t>
  </si>
  <si>
    <t>14/05 04.00</t>
  </si>
  <si>
    <t>16/05 17.00</t>
  </si>
  <si>
    <t>17/05 02.00</t>
  </si>
  <si>
    <t>LTDP2606N</t>
  </si>
  <si>
    <t>MATOYA BAY 0N80VN1NC</t>
  </si>
  <si>
    <t>SAHATHAI #0520,#2801 / B5 # 2815</t>
  </si>
  <si>
    <t>17/05 18.59</t>
  </si>
  <si>
    <t>18/05 18.00</t>
  </si>
  <si>
    <t>MTYB0N0VN</t>
  </si>
  <si>
    <t>ANBIEN SKY V.N031</t>
  </si>
  <si>
    <t>27/05 17.00</t>
  </si>
  <si>
    <t>28/05 23.59</t>
  </si>
  <si>
    <t>30/05 03.00</t>
  </si>
  <si>
    <t>ANSKN031</t>
  </si>
  <si>
    <t>ESL OMAN V.02621W</t>
  </si>
  <si>
    <t>SAHATHAI #0520,#2801 / C1C2 # 2836</t>
  </si>
  <si>
    <t>21/05 17.00</t>
  </si>
  <si>
    <t>22/05 06.00</t>
  </si>
  <si>
    <t>22/05 17.00</t>
  </si>
  <si>
    <t>22/05 23.59</t>
  </si>
  <si>
    <t>TS XIAMEN 2610N</t>
  </si>
  <si>
    <t>25/05 11.59</t>
  </si>
  <si>
    <t>26/05 17.00</t>
  </si>
  <si>
    <t>27/05 18.00</t>
  </si>
  <si>
    <t>XMNB2610N</t>
  </si>
  <si>
    <t>TS TIANJIN 2605N</t>
  </si>
  <si>
    <t>03/06 23.59</t>
  </si>
  <si>
    <t>04/06 17.00</t>
  </si>
  <si>
    <t>05/06 23.59</t>
  </si>
  <si>
    <t>07/06 08.00</t>
  </si>
  <si>
    <t>TSNA2605N</t>
  </si>
  <si>
    <t>TS OSAKA 2607N</t>
  </si>
  <si>
    <t>23/05 23.59</t>
  </si>
  <si>
    <t>24/05 23.59</t>
  </si>
  <si>
    <t>27/05 13.00</t>
  </si>
  <si>
    <t>OSAB2607N</t>
  </si>
  <si>
    <t>ZHONG GU XIA MEN 2605N</t>
  </si>
  <si>
    <t>SAHATHAI #0520,#2801 / C3 # 2820</t>
  </si>
  <si>
    <t>31/05 05.00</t>
  </si>
  <si>
    <t>ZGXM2605N</t>
  </si>
  <si>
    <t>TS CHIBA 2611N</t>
  </si>
  <si>
    <t>30/05 23.59</t>
  </si>
  <si>
    <t>31/05 23.59</t>
  </si>
  <si>
    <t>02/06 03.00</t>
  </si>
  <si>
    <t>CHBA2611N</t>
  </si>
  <si>
    <t>HELLA V.02622W</t>
  </si>
  <si>
    <t>27/05 23.59</t>
  </si>
  <si>
    <t>28/05 11.59</t>
  </si>
  <si>
    <t>29/05 01.00</t>
  </si>
  <si>
    <t>KMTC GWANGYANG 2606N</t>
  </si>
  <si>
    <r>
      <rPr>
        <i/>
        <sz val="9"/>
        <color theme="1"/>
        <rFont val="Tahoma"/>
        <family val="2"/>
      </rPr>
      <t xml:space="preserve">PAT 1 #0251 / </t>
    </r>
    <r>
      <rPr>
        <i/>
        <sz val="9"/>
        <color theme="1"/>
        <rFont val="Tahoma"/>
        <family val="2"/>
      </rPr>
      <t>B3 #2813</t>
    </r>
  </si>
  <si>
    <t>10/06 11.59</t>
  </si>
  <si>
    <t>10/06 20.00</t>
  </si>
  <si>
    <t>11/06 11.59</t>
  </si>
  <si>
    <t>12/06 23.00</t>
  </si>
  <si>
    <t>KGWA2606N</t>
  </si>
  <si>
    <t>JARU BHUM 171N</t>
  </si>
  <si>
    <t>29/05 17.00</t>
  </si>
  <si>
    <t>29/05 23.59</t>
  </si>
  <si>
    <t>30/05 17.00</t>
  </si>
  <si>
    <t>31/06 19.00</t>
  </si>
  <si>
    <t>JBHM171N</t>
  </si>
  <si>
    <t>KMTC TOKYO 2606N</t>
  </si>
  <si>
    <t>26/05 23.59</t>
  </si>
  <si>
    <t>28/05 28.59</t>
  </si>
  <si>
    <t>30/05 02.00</t>
  </si>
  <si>
    <t>KTYO2606N</t>
  </si>
  <si>
    <t>ZHONG GU NAN JING 2602W</t>
  </si>
  <si>
    <t>29/05 11.59</t>
  </si>
  <si>
    <t>30/05 09.00</t>
  </si>
  <si>
    <t>30/05 11.59</t>
  </si>
  <si>
    <t>31/05 09.00</t>
  </si>
  <si>
    <t>ZGNJ2602W</t>
  </si>
  <si>
    <t>KMTC MUMBAI V.2604W</t>
  </si>
  <si>
    <t>03/06 11.59</t>
  </si>
  <si>
    <t>0406 11.59</t>
  </si>
  <si>
    <t>05/06 01.00</t>
  </si>
  <si>
    <t>ANBIEN SKY V.N032</t>
  </si>
  <si>
    <t>12/06 11.59</t>
  </si>
  <si>
    <t>12/06 23.59</t>
  </si>
  <si>
    <t>13/06 11.59</t>
  </si>
  <si>
    <t>15/06 09.00</t>
  </si>
  <si>
    <t>ANSKN032</t>
  </si>
  <si>
    <t>PRIME 2601N</t>
  </si>
  <si>
    <t>08/06 11.59</t>
  </si>
  <si>
    <t>08/06 23.59</t>
  </si>
  <si>
    <t>09/06 17.00</t>
  </si>
  <si>
    <t>11/06 01.00</t>
  </si>
  <si>
    <t>PRME2601N</t>
  </si>
  <si>
    <t>LITTLE DOLPHIN 2607N</t>
  </si>
  <si>
    <t>10/06 23.59</t>
  </si>
  <si>
    <t>11/06 22.00</t>
  </si>
  <si>
    <t>13/06 17.00</t>
  </si>
  <si>
    <t>14/06 18.00</t>
  </si>
  <si>
    <t>LTDP2607N</t>
  </si>
  <si>
    <t>CNC LEOPARD 0N811N1NC</t>
  </si>
  <si>
    <t>05/06 18.00</t>
  </si>
  <si>
    <t>05/06 17.00</t>
  </si>
  <si>
    <t>06/06 23.00</t>
  </si>
  <si>
    <t>CLOP0N11N</t>
  </si>
  <si>
    <t>ZHONG GU TAI YUAN 2602W</t>
  </si>
  <si>
    <t>04/06 06.00</t>
  </si>
  <si>
    <t>04/06 23.59</t>
  </si>
  <si>
    <t>05/06 06.00</t>
  </si>
  <si>
    <t>ARAYA BHUM V.02624W</t>
  </si>
  <si>
    <t>12/06 01.00</t>
  </si>
  <si>
    <t>SAWASDEE MIMOSA 2606N</t>
  </si>
  <si>
    <r>
      <rPr>
        <i/>
        <sz val="9"/>
        <color rgb="FF000000"/>
        <rFont val="Tahoma"/>
        <family val="2"/>
      </rPr>
      <t xml:space="preserve">PAT 1 #0251 / </t>
    </r>
    <r>
      <rPr>
        <i/>
        <sz val="9"/>
        <color rgb="FF000000"/>
        <rFont val="Tahoma"/>
        <family val="2"/>
      </rPr>
      <t>C3 # 2820</t>
    </r>
  </si>
  <si>
    <t>18/06 23.59</t>
  </si>
  <si>
    <t>19/06 11.59</t>
  </si>
  <si>
    <t>20/06 17.00</t>
  </si>
  <si>
    <t>22/06 01.00</t>
  </si>
  <si>
    <t>SWMS2606N</t>
  </si>
  <si>
    <t>TS CHIBA 2612N</t>
  </si>
  <si>
    <t>14/06 17.00</t>
  </si>
  <si>
    <t>15/06 20.00</t>
  </si>
  <si>
    <t>16/06 11.59</t>
  </si>
  <si>
    <t>18/06 03.00</t>
  </si>
  <si>
    <t>CHBA2612N</t>
  </si>
  <si>
    <t>JARU BHUM 172N</t>
  </si>
  <si>
    <t>14/06 19.00</t>
  </si>
  <si>
    <t>JBHM172N</t>
  </si>
  <si>
    <t>TS OSAKA 2608N</t>
  </si>
  <si>
    <t>14/06 11.59</t>
  </si>
  <si>
    <t>15/06 23.59</t>
  </si>
  <si>
    <t>16/06 17.00</t>
  </si>
  <si>
    <t>17/06 23.00</t>
  </si>
  <si>
    <t>OSAB2608N</t>
  </si>
  <si>
    <t>MATOYA BAY 0N813N1NC</t>
  </si>
  <si>
    <r>
      <rPr>
        <i/>
        <sz val="9"/>
        <color rgb="FF000000"/>
        <rFont val="Tahoma"/>
        <family val="2"/>
      </rPr>
      <t>SAHATHAI #0520,#2801 /</t>
    </r>
    <r>
      <rPr>
        <i/>
        <sz val="9"/>
        <color rgb="FF000000"/>
        <rFont val="Tahoma"/>
        <family val="2"/>
      </rPr>
      <t xml:space="preserve"> </t>
    </r>
    <r>
      <rPr>
        <i/>
        <sz val="9"/>
        <color rgb="FF000000"/>
        <rFont val="Tahoma"/>
        <family val="2"/>
      </rPr>
      <t>B5 # 2815</t>
    </r>
  </si>
  <si>
    <t>15/06 11.59</t>
  </si>
  <si>
    <t>16/06 19.00</t>
  </si>
  <si>
    <t>MTYB0N813N</t>
  </si>
  <si>
    <t>X-PRESS ANGLESEY 2602W</t>
  </si>
  <si>
    <t>XPAG2602W</t>
  </si>
  <si>
    <t>TS TIANJIN 2606N</t>
  </si>
  <si>
    <t>29/06 11.59</t>
  </si>
  <si>
    <t>29/06 23.59</t>
  </si>
  <si>
    <t>30/06 11.59</t>
  </si>
  <si>
    <t>01/07 23.00</t>
  </si>
  <si>
    <t>TSNA2606N</t>
  </si>
  <si>
    <t>IAL 001 V.N225</t>
  </si>
  <si>
    <t>23/06 17.00</t>
  </si>
  <si>
    <t>23/06 23.59</t>
  </si>
  <si>
    <t>24/06 11.59</t>
  </si>
  <si>
    <t>25/06 13.00</t>
  </si>
  <si>
    <t>IAL1N225</t>
  </si>
  <si>
    <t>TEH VICTORY 2623N</t>
  </si>
  <si>
    <t>25/06 17.00</t>
  </si>
  <si>
    <t>25/06 23.59</t>
  </si>
  <si>
    <t>26/06 17.00</t>
  </si>
  <si>
    <t>28/06 03.00</t>
  </si>
  <si>
    <t>VCTB2623N</t>
  </si>
  <si>
    <t>BHUDTHI BHUM 02625W</t>
  </si>
  <si>
    <t>20/06 11.59</t>
  </si>
  <si>
    <t>21/06 04.00</t>
  </si>
  <si>
    <t>21/06 11.59</t>
  </si>
  <si>
    <t>22/06 04.00</t>
  </si>
  <si>
    <t>BTBH02625W</t>
  </si>
  <si>
    <t>KMTC TOKYO 2607N</t>
  </si>
  <si>
    <t>PAT 1 #0251 / C3 # 2820</t>
  </si>
  <si>
    <t>19/06 06.00</t>
  </si>
  <si>
    <t>20/06 23.59</t>
  </si>
  <si>
    <t>KTYO2607N</t>
  </si>
  <si>
    <t>IFX2</t>
  </si>
  <si>
    <t>TS TACOMA 2606E</t>
  </si>
  <si>
    <t>27/06 18.00</t>
  </si>
  <si>
    <t>27/06 17.00</t>
  </si>
  <si>
    <t>28/06 18.00</t>
  </si>
  <si>
    <t>TIWA2606E</t>
  </si>
  <si>
    <t>CNTAO(6)-CNSHA(8)-CNNBO(10)</t>
  </si>
  <si>
    <t>KMTC GWANGYANG 2607N</t>
  </si>
  <si>
    <t>04/07 23.59</t>
  </si>
  <si>
    <t>06/07 17.00</t>
  </si>
  <si>
    <t>05/07 23.59</t>
  </si>
  <si>
    <t>08/07 22.00</t>
  </si>
  <si>
    <t>KGWA2607N</t>
  </si>
  <si>
    <t>TS CHIBA 2613N</t>
  </si>
  <si>
    <t>27/06 23.59</t>
  </si>
  <si>
    <t>28/06 17.00</t>
  </si>
  <si>
    <t>30/06 07.00</t>
  </si>
  <si>
    <t>CHBA2613N</t>
  </si>
  <si>
    <t>MTT SAISUNEE 086N</t>
  </si>
  <si>
    <t>27/06 11.59</t>
  </si>
  <si>
    <t>28/06 11.59</t>
  </si>
  <si>
    <t>29/06 21.00</t>
  </si>
  <si>
    <t>MTSS086N</t>
  </si>
  <si>
    <t>LITTLE DOLPHIN 2608N</t>
  </si>
  <si>
    <t>02/07 17.00</t>
  </si>
  <si>
    <t>03/07 20.00</t>
  </si>
  <si>
    <t>04/07 11.59</t>
  </si>
  <si>
    <t>05/07 23.00</t>
  </si>
  <si>
    <t>LTDP2608N</t>
  </si>
  <si>
    <t>CELSIUS EMMEN         
0N817N1NC</t>
  </si>
  <si>
    <t>29/06 17.00</t>
  </si>
  <si>
    <t>30/06 17.00</t>
  </si>
  <si>
    <t>30/06 19.00</t>
  </si>
  <si>
    <t>CEMM0N817N</t>
  </si>
  <si>
    <t>IAL 001 V.N226</t>
  </si>
  <si>
    <t>10/07 11.59</t>
  </si>
  <si>
    <t>10/07 23.59</t>
  </si>
  <si>
    <t>11/07 11.59</t>
  </si>
  <si>
    <t>12/07 20.00</t>
  </si>
  <si>
    <t>IAL1N226</t>
  </si>
  <si>
    <t>TEH VICTORY 2624N</t>
  </si>
  <si>
    <t>SAHATHAI #0520,#2801 / SIAM COM#2809</t>
  </si>
  <si>
    <t>08/07 11.59</t>
  </si>
  <si>
    <t>08/07 23.59</t>
  </si>
  <si>
    <t>09/07 11.59</t>
  </si>
  <si>
    <t>10/07 18.00</t>
  </si>
  <si>
    <t>VCTB2624N</t>
  </si>
  <si>
    <t>TS OSAKA 2609N</t>
  </si>
  <si>
    <t>05/07 17.00</t>
  </si>
  <si>
    <t>06/07 11.59</t>
  </si>
  <si>
    <t>07/07 18.00</t>
  </si>
  <si>
    <t>OSAB2609N</t>
  </si>
  <si>
    <t>ZHONG GU NAN JING
2603W</t>
  </si>
  <si>
    <t>11/07 23.59</t>
  </si>
  <si>
    <t>12/07 11.59</t>
  </si>
  <si>
    <t>12/07 23.59</t>
  </si>
  <si>
    <t>ZGNJ2603W</t>
  </si>
  <si>
    <t>CNC LEOPARD  
0N819N1NC</t>
  </si>
  <si>
    <t>03/07 11.59</t>
  </si>
  <si>
    <t>04/07 14.00</t>
  </si>
  <si>
    <t>05/07 14.00</t>
  </si>
  <si>
    <t>SAWASDEE MIMOSA 2607N</t>
  </si>
  <si>
    <t>13//07 17.00</t>
  </si>
  <si>
    <t>14/07 20.00</t>
  </si>
  <si>
    <t>SWMS2607N</t>
  </si>
  <si>
    <t>TS KOBE 2613N</t>
  </si>
  <si>
    <t>18/07 23.59</t>
  </si>
  <si>
    <t>19/07 17.00</t>
  </si>
  <si>
    <t>20/07 20.00</t>
  </si>
  <si>
    <t>UKBB2613N</t>
  </si>
  <si>
    <t>MTT SAISUNEE 087N</t>
  </si>
  <si>
    <t>11/07 17.00</t>
  </si>
  <si>
    <t>12/07 17.00</t>
  </si>
  <si>
    <t>13/07 20.00</t>
  </si>
  <si>
    <t>MTSSN087</t>
  </si>
  <si>
    <t>KMTC TOKYO 2608N</t>
  </si>
  <si>
    <t>13/07 23.59</t>
  </si>
  <si>
    <t>14/07 11.59</t>
  </si>
  <si>
    <t>15/07 11.00</t>
  </si>
  <si>
    <t>KTYO2608N</t>
  </si>
  <si>
    <t>ZHONG GU TAI YUAN 2603W</t>
  </si>
  <si>
    <t>16/07 11.59</t>
  </si>
  <si>
    <t>16/07 23.59</t>
  </si>
  <si>
    <t>17/07 11.59</t>
  </si>
  <si>
    <t>18/07 10.00</t>
  </si>
  <si>
    <t>ZGTY2603W</t>
  </si>
  <si>
    <t>MATOYA BAY 
0N81BN1NC</t>
  </si>
  <si>
    <r>
      <rPr>
        <i/>
        <sz val="9"/>
        <color rgb="FF000000"/>
        <rFont val="Tahoma"/>
        <family val="2"/>
      </rPr>
      <t xml:space="preserve">SAHATHAI #0520,#2801 / </t>
    </r>
    <r>
      <rPr>
        <i/>
        <sz val="9"/>
        <color rgb="FF000000"/>
        <rFont val="Tahoma"/>
        <family val="2"/>
      </rPr>
      <t>B4 # 2814</t>
    </r>
  </si>
  <si>
    <t>LINK B4</t>
  </si>
  <si>
    <t>10/07 17.00</t>
  </si>
  <si>
    <t>11/07 18.00</t>
  </si>
  <si>
    <t>12/07 18.00</t>
  </si>
  <si>
    <t>MTYB0N81BN</t>
  </si>
  <si>
    <t>TS TIANJIN 2607N</t>
  </si>
  <si>
    <t>29/07 11.59</t>
  </si>
  <si>
    <t>30/07 06.00</t>
  </si>
  <si>
    <t>31/07 11.59</t>
  </si>
  <si>
    <t>01/08 11.00</t>
  </si>
  <si>
    <t>TSNA2607N</t>
  </si>
  <si>
    <t>TEH VICTORY 2625N</t>
  </si>
  <si>
    <t>22/07 11.59</t>
  </si>
  <si>
    <t>23/07 11.59</t>
  </si>
  <si>
    <t>24/07 23.59</t>
  </si>
  <si>
    <t>VCTB2625N</t>
  </si>
  <si>
    <t>LITTLE DOLPHIN 2609N</t>
  </si>
  <si>
    <r>
      <rPr>
        <i/>
        <sz val="9"/>
        <color rgb="FF000000"/>
        <rFont val="Tahoma"/>
        <family val="2"/>
      </rPr>
      <t xml:space="preserve">PAT 1 #0251 / </t>
    </r>
    <r>
      <rPr>
        <i/>
        <sz val="9"/>
        <color rgb="FF000000"/>
        <rFont val="Tahoma"/>
        <family val="2"/>
      </rPr>
      <t>C3 # 2820</t>
    </r>
  </si>
  <si>
    <t>26/07 23.59</t>
  </si>
  <si>
    <t>27/07 11.00</t>
  </si>
  <si>
    <t>28/07 17.00</t>
  </si>
  <si>
    <t>29/07 16.00</t>
  </si>
  <si>
    <t>LTDP2609N</t>
  </si>
  <si>
    <t>X-PRESS ANGLESEY 2603W</t>
  </si>
  <si>
    <t>21/07 11.59</t>
  </si>
  <si>
    <t>21/07 23.59</t>
  </si>
  <si>
    <t>23/07 10.00</t>
  </si>
  <si>
    <t>XPAG2603N</t>
  </si>
  <si>
    <t>KMTC GWANGYANG 2608N</t>
  </si>
  <si>
    <t>06/08 23.59</t>
  </si>
  <si>
    <t>06/08 18.00</t>
  </si>
  <si>
    <t>08/08 17.00</t>
  </si>
  <si>
    <t>09/08 13.00</t>
  </si>
  <si>
    <t>KGWA2608N</t>
  </si>
  <si>
    <t>IAL 001 V.N227</t>
  </si>
  <si>
    <t>27/07 23.59</t>
  </si>
  <si>
    <t>28/07 23.59</t>
  </si>
  <si>
    <t>29/07 18.00</t>
  </si>
  <si>
    <t>IAL1N227</t>
  </si>
  <si>
    <t>MTT SAISUNEE 088N</t>
  </si>
  <si>
    <t>BLANK SAILING</t>
  </si>
  <si>
    <t>TS OSAKA 2610N</t>
  </si>
  <si>
    <t>28/07 11.59</t>
  </si>
  <si>
    <t>29/07 23.59</t>
  </si>
  <si>
    <t>30/07 17.00</t>
  </si>
  <si>
    <t>31/07 18.00</t>
  </si>
  <si>
    <t>OSAB2610N</t>
  </si>
  <si>
    <t>TEH VICTORY 2626N</t>
  </si>
  <si>
    <t>06/08 17.00</t>
  </si>
  <si>
    <t>07/08 17.00</t>
  </si>
  <si>
    <t>08/08 11.00</t>
  </si>
  <si>
    <t>VCTB2626N</t>
  </si>
  <si>
    <t>TS KOBE 2614N</t>
  </si>
  <si>
    <t>03/08 11.59</t>
  </si>
  <si>
    <t>03/08 23.59</t>
  </si>
  <si>
    <t>04/08 11.59</t>
  </si>
  <si>
    <t>05/08 13.00</t>
  </si>
  <si>
    <t>UKBB2614N</t>
  </si>
  <si>
    <t>SAWASDEE MIMOSA 2608N</t>
  </si>
  <si>
    <t>09/08 17.00</t>
  </si>
  <si>
    <t>10/08 06.00</t>
  </si>
  <si>
    <t>11/08 17.00</t>
  </si>
  <si>
    <t>12/08 14.00</t>
  </si>
  <si>
    <t>SWMS2608N</t>
  </si>
  <si>
    <t>IAL 001 V.N228</t>
  </si>
  <si>
    <t>14/08 23.59</t>
  </si>
  <si>
    <t>15/08 11.59</t>
  </si>
  <si>
    <t>16/08 23.00</t>
  </si>
  <si>
    <t>IAL1N228</t>
  </si>
  <si>
    <t>MTT SAISUNEE 089N</t>
  </si>
  <si>
    <t>13/08 23.59</t>
  </si>
  <si>
    <t>14/08 17.00</t>
  </si>
  <si>
    <t>16/08 03.00</t>
  </si>
  <si>
    <t>MTSS089N</t>
  </si>
  <si>
    <t>TS TIANJIN 2608N</t>
  </si>
  <si>
    <t>23/08 17.00</t>
  </si>
  <si>
    <t>23/08 23.59</t>
  </si>
  <si>
    <t>22/08 17.00</t>
  </si>
  <si>
    <t>25/08 17.00</t>
  </si>
  <si>
    <t>26/08 15.00</t>
  </si>
  <si>
    <t>TSNA2608N</t>
  </si>
  <si>
    <t>Ad-hoc Mexico ETA 10OCT</t>
  </si>
  <si>
    <t>KMTC TOKYO 2609N</t>
  </si>
  <si>
    <t>08/08 11.59</t>
  </si>
  <si>
    <t>09/08 14.00</t>
  </si>
  <si>
    <t>10/08 17.00</t>
  </si>
  <si>
    <t>11/08 11.00</t>
  </si>
  <si>
    <t>KTYO2609N</t>
  </si>
  <si>
    <t>ESL OMAN V.02633W</t>
  </si>
  <si>
    <t>PAT 2 #0252 / C1C2 # 2836</t>
  </si>
  <si>
    <t>11/08 23.59</t>
  </si>
  <si>
    <t>12/08 23.59</t>
  </si>
  <si>
    <t>ZHONG GU NAN JING
2604W</t>
  </si>
  <si>
    <t>17/08 23.59</t>
  </si>
  <si>
    <t>18/08 23.59</t>
  </si>
  <si>
    <t>ZGNJ2604W</t>
  </si>
  <si>
    <t>TEH VICTORY 2627N</t>
  </si>
  <si>
    <t>21/08 11.59</t>
  </si>
  <si>
    <t>21/08 18.00</t>
  </si>
  <si>
    <t>23/08 13.00</t>
  </si>
  <si>
    <t>VCTB2627N</t>
  </si>
  <si>
    <t>KMTC GWANGYANG 2609N</t>
  </si>
  <si>
    <r>
      <rPr>
        <i/>
        <sz val="9"/>
        <color rgb="FF000000"/>
        <rFont val="Tahoma"/>
        <family val="2"/>
      </rPr>
      <t xml:space="preserve">PAT 1 #0251 / </t>
    </r>
    <r>
      <rPr>
        <i/>
        <sz val="9"/>
        <color rgb="FF000000"/>
        <rFont val="Tahoma"/>
        <family val="2"/>
      </rPr>
      <t>C3 # 2820</t>
    </r>
  </si>
  <si>
    <t>29/08 17.00</t>
  </si>
  <si>
    <t>30/08 13.00</t>
  </si>
  <si>
    <t>30/08 23.59</t>
  </si>
  <si>
    <t>01/09 05.00</t>
  </si>
  <si>
    <t>KWGA2609N</t>
  </si>
  <si>
    <t>LITTLE DOLPHIN 2610N</t>
  </si>
  <si>
    <t>24/08 17.00</t>
  </si>
  <si>
    <t>24/08 23.59</t>
  </si>
  <si>
    <t>26/08 17.00</t>
  </si>
  <si>
    <t>27/08 14.00</t>
  </si>
  <si>
    <t>LTDP2610N</t>
  </si>
  <si>
    <t>TS OSAKA 2611N</t>
  </si>
  <si>
    <t>25/08 23.59</t>
  </si>
  <si>
    <t>26/08 23.59</t>
  </si>
  <si>
    <t>27/08 17.00</t>
  </si>
  <si>
    <t>28/08 16.00</t>
  </si>
  <si>
    <t>OSAB2611N</t>
  </si>
  <si>
    <t>ZHONG GU TAI YUAN 2604W</t>
  </si>
  <si>
    <t>22/08 06.00</t>
  </si>
  <si>
    <t>22/08 11.59</t>
  </si>
  <si>
    <t>23/08 06.00</t>
  </si>
  <si>
    <t>ZGTY2604W</t>
  </si>
  <si>
    <t>TEH VICTORY 2628N</t>
  </si>
  <si>
    <t>04/09 11.59</t>
  </si>
  <si>
    <t>04/09 23.59</t>
  </si>
  <si>
    <t>05/09 17.00</t>
  </si>
  <si>
    <t>06/09 17.00</t>
  </si>
  <si>
    <t>VCTB2628N</t>
  </si>
  <si>
    <t>KMTC TOKYO 2610N</t>
  </si>
  <si>
    <t>10/09 11.59</t>
  </si>
  <si>
    <t>11/09 10.00</t>
  </si>
  <si>
    <t>12/09 17.00</t>
  </si>
  <si>
    <t>13/09 16.00</t>
  </si>
  <si>
    <t>KTYO2610N</t>
  </si>
  <si>
    <t>X-PRESS ANGLESEY 2604W</t>
  </si>
  <si>
    <t>08/09 23.60</t>
  </si>
  <si>
    <t>28/08 07.00</t>
  </si>
  <si>
    <t>27/08 23.59</t>
  </si>
  <si>
    <t>29/08 07.00</t>
  </si>
  <si>
    <t>XPAG2604W</t>
  </si>
  <si>
    <t>SAWASDEE DENEB 2609N</t>
  </si>
  <si>
    <t>05/09 11.59</t>
  </si>
  <si>
    <t>06/09 06.00</t>
  </si>
  <si>
    <t>07/09 17.00</t>
  </si>
  <si>
    <t>08/09 13.00</t>
  </si>
  <si>
    <t>SWDN2609N</t>
  </si>
  <si>
    <t>ZHONG GU LIN YI 2608W</t>
  </si>
  <si>
    <t>05/09 23.59</t>
  </si>
  <si>
    <t>07/09 04.00</t>
  </si>
  <si>
    <t>06/09 23.59</t>
  </si>
  <si>
    <t>08/09 04.00</t>
  </si>
  <si>
    <t>ZGLI2608W</t>
  </si>
  <si>
    <t>TEH VICTORY 2629N</t>
  </si>
  <si>
    <t>19/09 23.59</t>
  </si>
  <si>
    <t>20/09 16.00</t>
  </si>
  <si>
    <t>21/09 17.00</t>
  </si>
  <si>
    <t>22/09 13.00</t>
  </si>
  <si>
    <t>VCTB2629N</t>
  </si>
  <si>
    <t>LITTLE DOLPHIN 2611N</t>
  </si>
  <si>
    <t>25/09 23.59</t>
  </si>
  <si>
    <t>26/09 20.00</t>
  </si>
  <si>
    <t>26/09 17.00</t>
  </si>
  <si>
    <t>28/09 16.00</t>
  </si>
  <si>
    <t>LTDP2611N</t>
  </si>
  <si>
    <t>ZHONG GU NAN JING 2605W</t>
  </si>
  <si>
    <t>KMTC GWANGYANG 2610N</t>
  </si>
  <si>
    <t>26/09 11.59</t>
  </si>
  <si>
    <t>26/09 23.59</t>
  </si>
  <si>
    <t>27/09 23.59</t>
  </si>
  <si>
    <t>28/09 21.00</t>
  </si>
  <si>
    <t>KGWA2610N</t>
  </si>
  <si>
    <t>ARAYA BHUM V.02636W</t>
  </si>
  <si>
    <t>27/09 06.00</t>
  </si>
  <si>
    <t>28/09 06.00</t>
  </si>
  <si>
    <t>ARYB02636W</t>
  </si>
  <si>
    <t>TS CHIBA 2621N</t>
  </si>
  <si>
    <t>27/09 17.00</t>
  </si>
  <si>
    <t>28/09 18.00</t>
  </si>
  <si>
    <t>CHBA2621N</t>
  </si>
  <si>
    <t>BAMSI BEYRE V.2638W</t>
  </si>
  <si>
    <t>NO ALLOCATION</t>
  </si>
  <si>
    <t>TEH VICTORY 2630N BLANK SAILING</t>
  </si>
  <si>
    <t>SAWASDEE DENEB 2610N</t>
  </si>
  <si>
    <t>30/09 17.00</t>
  </si>
  <si>
    <t>01/10 18.00</t>
  </si>
  <si>
    <t>01/10 23.59</t>
  </si>
  <si>
    <t>03/10 03.00</t>
  </si>
  <si>
    <t>SWDN2610N</t>
  </si>
  <si>
    <t>RSS</t>
  </si>
  <si>
    <t>TS SINGAPORE 2606W</t>
  </si>
  <si>
    <t>19/09 17.00</t>
  </si>
  <si>
    <t>20/09 18.00</t>
  </si>
  <si>
    <t>20/09 17.00</t>
  </si>
  <si>
    <t>21/09 20.00</t>
  </si>
  <si>
    <t>SINC2606W</t>
  </si>
  <si>
    <t>ESL KABIR V.02639W</t>
  </si>
  <si>
    <t>23/09 11.59</t>
  </si>
  <si>
    <t>24/09 06.00</t>
  </si>
  <si>
    <t>24/09 11.59</t>
  </si>
  <si>
    <t>25/09 06.00</t>
  </si>
  <si>
    <t>KMTC TOKYO 2611N</t>
  </si>
  <si>
    <t>02/10 25.59</t>
  </si>
  <si>
    <t>03/10 17.00</t>
  </si>
  <si>
    <t>04/10 16.00</t>
  </si>
  <si>
    <t>KTYO2611N</t>
  </si>
  <si>
    <t>ZHONG GU TAI YUAN 2605W</t>
  </si>
  <si>
    <t>08/10 17.00</t>
  </si>
  <si>
    <t>09/10 18.00</t>
  </si>
  <si>
    <t>09/10 17.00</t>
  </si>
  <si>
    <t>10/10 18.00</t>
  </si>
  <si>
    <t>ZGTY2605W</t>
  </si>
  <si>
    <t>ESL OMAN V.02640W</t>
  </si>
  <si>
    <t>29/09 23.59</t>
  </si>
  <si>
    <t>30/09 06.00</t>
  </si>
  <si>
    <t>30/09 23.59</t>
  </si>
  <si>
    <t>01/10 06.00</t>
  </si>
  <si>
    <t>X-PRESS ANGLESEY 2605W</t>
  </si>
  <si>
    <t>03/10 06.00</t>
  </si>
  <si>
    <t>02/10 23.59</t>
  </si>
  <si>
    <t>04/10 06.00</t>
  </si>
  <si>
    <t>TEH VICTORY 2631N BLANK SAILING</t>
  </si>
  <si>
    <t>KMTC GWANGYANG 2611N</t>
  </si>
  <si>
    <t>17/10 23.59</t>
  </si>
  <si>
    <t>18/10 23.59</t>
  </si>
  <si>
    <t>19/10 17.00</t>
  </si>
  <si>
    <t>20/10 06.00</t>
  </si>
  <si>
    <t>LITTLE DOLPHIN 2612N</t>
  </si>
  <si>
    <t>13/10 17.00</t>
  </si>
  <si>
    <t>14/10 11.00</t>
  </si>
  <si>
    <t>15/10 11.59</t>
  </si>
  <si>
    <t>16/10 09.00</t>
  </si>
  <si>
    <t>TS PENAG 2636N</t>
  </si>
  <si>
    <t>PAT 1 #0251 / B3 # 2813</t>
  </si>
  <si>
    <t>24/10 17.00</t>
  </si>
  <si>
    <t>24/10 23.59</t>
  </si>
  <si>
    <t>25/10 11.59</t>
  </si>
  <si>
    <t>26/10 01.00</t>
  </si>
  <si>
    <t>SAWASDEE DENEB 2611N</t>
  </si>
  <si>
    <t>20/10 17.00</t>
  </si>
  <si>
    <t>21/10 10.00</t>
  </si>
  <si>
    <t>21/10 23.59</t>
  </si>
  <si>
    <t>23/10 03.00</t>
  </si>
  <si>
    <t>TS CHIBA 2622N</t>
  </si>
  <si>
    <t>13/10 23.59</t>
  </si>
  <si>
    <t>17/10 17.00</t>
  </si>
  <si>
    <t>15/10 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</si>
</sst>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d\-mmm\-yyyy"/>
    <numFmt numFmtId="177" formatCode="mm/dd/yyyy\ h:mm"/>
    <numFmt numFmtId="178" formatCode="mmm&quot; &quot;d"/>
    <numFmt numFmtId="179" formatCode="mm&quot;/&quot;dd&quot;/&quot;yyyy&quot; &quot;hh&quot;:&quot;mm"/>
    <numFmt numFmtId="180" formatCode="mm/dd/yyyy"/>
    <numFmt numFmtId="181" formatCode="m/d/yyyy\ h:mm"/>
    <numFmt numFmtId="182" formatCode="mm\-dd\-yyyy\ h:mm"/>
    <numFmt numFmtId="183" formatCode="d/m"/>
  </numFmts>
  <fonts count="150">
    <font>
      <sz val="14"/>
      <color rgb="FF000000"/>
      <name val="Calibri"/>
      <scheme val="minor"/>
    </font>
    <font>
      <sz val="14"/>
      <color theme="1"/>
      <name val="Sarabun"/>
    </font>
    <font>
      <sz val="14"/>
      <color theme="1"/>
      <name val="Calibri"/>
      <family val="2"/>
      <scheme val="minor"/>
    </font>
    <font>
      <sz val="11"/>
      <color rgb="FF666666"/>
      <name val="Sarabun"/>
    </font>
    <font>
      <sz val="12"/>
      <color theme="1"/>
      <name val="Calibri"/>
      <family val="2"/>
      <scheme val="minor"/>
    </font>
    <font>
      <sz val="10"/>
      <color rgb="FF999999"/>
      <name val="Tahoma"/>
      <family val="2"/>
    </font>
    <font>
      <b/>
      <sz val="14"/>
      <color rgb="FF9900FF"/>
      <name val="Tahoma"/>
      <family val="2"/>
    </font>
    <font>
      <b/>
      <sz val="12"/>
      <color rgb="FFFC04B5"/>
      <name val="Calibri"/>
      <family val="2"/>
    </font>
    <font>
      <b/>
      <sz val="10"/>
      <color rgb="FF000000"/>
      <name val="Tahoma"/>
      <family val="2"/>
    </font>
    <font>
      <u/>
      <sz val="14"/>
      <color rgb="FF0000FF"/>
      <name val="Sarabun"/>
    </font>
    <font>
      <b/>
      <sz val="18"/>
      <color theme="1"/>
      <name val="Comfortaa"/>
    </font>
    <font>
      <b/>
      <sz val="14"/>
      <color theme="1"/>
      <name val="Sarabun"/>
    </font>
    <font>
      <u/>
      <sz val="14"/>
      <color theme="1"/>
      <name val="Calibri"/>
      <family val="2"/>
    </font>
    <font>
      <u/>
      <sz val="14"/>
      <color rgb="FF0000FF"/>
      <name val="Calibri"/>
      <family val="2"/>
    </font>
    <font>
      <sz val="10"/>
      <color theme="1"/>
      <name val="Calibri"/>
      <family val="2"/>
    </font>
    <font>
      <b/>
      <sz val="15"/>
      <color rgb="FFFFFF00"/>
      <name val="Tahoma"/>
      <family val="2"/>
    </font>
    <font>
      <b/>
      <sz val="10"/>
      <color theme="1"/>
      <name val="Tahoma"/>
      <family val="2"/>
    </font>
    <font>
      <sz val="14"/>
      <color theme="1"/>
      <name val="Calibri"/>
      <family val="2"/>
    </font>
    <font>
      <sz val="9"/>
      <color rgb="FF999999"/>
      <name val="Tahoma"/>
      <family val="2"/>
    </font>
    <font>
      <sz val="14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4"/>
      <name val="Calibri"/>
      <family val="2"/>
    </font>
    <font>
      <sz val="12"/>
      <color theme="1"/>
      <name val="Calibri"/>
      <family val="2"/>
    </font>
    <font>
      <b/>
      <u/>
      <sz val="14"/>
      <color theme="1"/>
      <name val="Calibri"/>
      <family val="2"/>
    </font>
    <font>
      <b/>
      <sz val="12"/>
      <color rgb="FF000000"/>
      <name val="Tahoma"/>
      <family val="2"/>
    </font>
    <font>
      <b/>
      <u/>
      <sz val="11"/>
      <color rgb="FF0000FF"/>
      <name val="Tahoma"/>
      <family val="2"/>
    </font>
    <font>
      <sz val="11"/>
      <color rgb="FF0000FF"/>
      <name val="Calibri"/>
      <family val="2"/>
    </font>
    <font>
      <b/>
      <sz val="10"/>
      <color theme="1"/>
      <name val="Sarabun"/>
    </font>
    <font>
      <sz val="10"/>
      <color theme="1"/>
      <name val="Sarabun"/>
    </font>
    <font>
      <sz val="10"/>
      <color rgb="FF000000"/>
      <name val="Sarabun"/>
    </font>
    <font>
      <b/>
      <sz val="11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1155CC"/>
      <name val="Roboto"/>
    </font>
    <font>
      <sz val="12"/>
      <color rgb="FF000000"/>
      <name val="Tahoma"/>
      <family val="2"/>
    </font>
    <font>
      <b/>
      <sz val="11"/>
      <color rgb="FFFF0000"/>
      <name val="Tahoma"/>
      <family val="2"/>
    </font>
    <font>
      <b/>
      <sz val="8"/>
      <color rgb="FF000000"/>
      <name val="Tahoma"/>
      <family val="2"/>
    </font>
    <font>
      <sz val="14"/>
      <color theme="1"/>
      <name val="Chakra Petch"/>
    </font>
    <font>
      <sz val="12"/>
      <color rgb="FF000000"/>
      <name val="Calibri"/>
      <family val="2"/>
    </font>
    <font>
      <b/>
      <u/>
      <sz val="14"/>
      <color rgb="FFC0504D"/>
      <name val="Sarabun"/>
    </font>
    <font>
      <b/>
      <sz val="12"/>
      <color rgb="FF999999"/>
      <name val="Tahoma"/>
      <family val="2"/>
    </font>
    <font>
      <b/>
      <sz val="18"/>
      <color rgb="FF4A86E8"/>
      <name val="Calibri"/>
      <family val="2"/>
    </font>
    <font>
      <sz val="12"/>
      <color theme="1"/>
      <name val="Tahoma"/>
      <family val="2"/>
    </font>
    <font>
      <b/>
      <sz val="10"/>
      <color rgb="FFFFFFFF"/>
      <name val="Sarabun"/>
    </font>
    <font>
      <b/>
      <sz val="18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F3F3F3"/>
      <name val="Tahoma"/>
      <family val="2"/>
    </font>
    <font>
      <b/>
      <sz val="10"/>
      <color rgb="FFFF0000"/>
      <name val="Sarabun"/>
    </font>
    <font>
      <b/>
      <sz val="10"/>
      <color rgb="FFFFFFFF"/>
      <name val="Tahoma"/>
      <family val="2"/>
    </font>
    <font>
      <b/>
      <sz val="10"/>
      <color rgb="FF000000"/>
      <name val="Sarabun"/>
    </font>
    <font>
      <b/>
      <sz val="10"/>
      <color rgb="FFEFEFEF"/>
      <name val="Tahoma"/>
      <family val="2"/>
    </font>
    <font>
      <sz val="11"/>
      <color rgb="FFED7D31"/>
      <name val="Calibri"/>
      <family val="2"/>
    </font>
    <font>
      <b/>
      <sz val="9"/>
      <color rgb="FF9900FF"/>
      <name val="Tahoma"/>
      <family val="2"/>
    </font>
    <font>
      <sz val="11"/>
      <color rgb="FFFC04B5"/>
      <name val="Calibri"/>
      <family val="2"/>
    </font>
    <font>
      <sz val="11"/>
      <color rgb="FFFF9900"/>
      <name val="Calibri"/>
      <family val="2"/>
    </font>
    <font>
      <b/>
      <sz val="9"/>
      <color theme="1"/>
      <name val="Tahoma"/>
      <family val="2"/>
    </font>
    <font>
      <b/>
      <i/>
      <sz val="15"/>
      <color rgb="FFFFFFFF"/>
      <name val="Tahoma"/>
      <family val="2"/>
    </font>
    <font>
      <sz val="11"/>
      <color rgb="FFFF00FF"/>
      <name val="Calibri"/>
      <family val="2"/>
    </font>
    <font>
      <b/>
      <sz val="8"/>
      <color rgb="FFFFFFFF"/>
      <name val="Tahoma"/>
      <family val="2"/>
    </font>
    <font>
      <sz val="11"/>
      <color rgb="FF7030A0"/>
      <name val="Calibri"/>
      <family val="2"/>
    </font>
    <font>
      <b/>
      <sz val="13"/>
      <color rgb="FFFFFFFF"/>
      <name val="Tahoma"/>
      <family val="2"/>
    </font>
    <font>
      <sz val="11"/>
      <color rgb="FFFFC000"/>
      <name val="Calibri"/>
      <family val="2"/>
    </font>
    <font>
      <b/>
      <sz val="14"/>
      <color rgb="FFFFFFFF"/>
      <name val="Tahoma"/>
      <family val="2"/>
    </font>
    <font>
      <sz val="11"/>
      <color rgb="FF00B0F0"/>
      <name val="Calibri"/>
      <family val="2"/>
    </font>
    <font>
      <sz val="11"/>
      <color rgb="FFFF0000"/>
      <name val="Calibri"/>
      <family val="2"/>
    </font>
    <font>
      <sz val="11"/>
      <color rgb="FF000000"/>
      <name val="Arial"/>
      <family val="2"/>
    </font>
    <font>
      <b/>
      <sz val="9"/>
      <color rgb="FFFFFFFF"/>
      <name val="Tahoma"/>
      <family val="2"/>
    </font>
    <font>
      <sz val="11"/>
      <color rgb="FFFF99FF"/>
      <name val="Calibri"/>
      <family val="2"/>
    </font>
    <font>
      <b/>
      <sz val="11"/>
      <color rgb="FFC8325D"/>
      <name val="Calibri"/>
      <family val="2"/>
    </font>
    <font>
      <sz val="14"/>
      <color rgb="FF000000"/>
      <name val="Arial"/>
      <family val="2"/>
    </font>
    <font>
      <b/>
      <sz val="11"/>
      <color theme="1"/>
      <name val="Sarabun"/>
    </font>
    <font>
      <b/>
      <sz val="14"/>
      <color rgb="FFFF0000"/>
      <name val="Sarabun"/>
    </font>
    <font>
      <b/>
      <sz val="14"/>
      <color theme="1"/>
      <name val="Calibri"/>
      <family val="2"/>
    </font>
    <font>
      <sz val="11"/>
      <color rgb="FF38761D"/>
      <name val="Calibri"/>
      <family val="2"/>
    </font>
    <font>
      <i/>
      <sz val="9"/>
      <color rgb="FF000000"/>
      <name val="Tahoma"/>
      <family val="2"/>
    </font>
    <font>
      <b/>
      <sz val="12"/>
      <color theme="1"/>
      <name val="Tahoma"/>
      <family val="2"/>
    </font>
    <font>
      <i/>
      <u/>
      <sz val="10"/>
      <color rgb="FF000000"/>
      <name val="Calibri"/>
      <family val="2"/>
    </font>
    <font>
      <i/>
      <u/>
      <sz val="8"/>
      <color rgb="FF000000"/>
      <name val="Tahoma"/>
      <family val="2"/>
    </font>
    <font>
      <sz val="11"/>
      <color rgb="FF00B050"/>
      <name val="Calibri"/>
      <family val="2"/>
    </font>
    <font>
      <b/>
      <sz val="9"/>
      <color rgb="FF000000"/>
      <name val="Tahoma"/>
      <family val="2"/>
    </font>
    <font>
      <i/>
      <sz val="10"/>
      <color rgb="FF000000"/>
      <name val="Calibri"/>
      <family val="2"/>
    </font>
    <font>
      <sz val="11"/>
      <color rgb="FF9900FF"/>
      <name val="Calibri"/>
      <family val="2"/>
    </font>
    <font>
      <b/>
      <sz val="14"/>
      <color rgb="FF000000"/>
      <name val="Calibri"/>
      <family val="2"/>
    </font>
    <font>
      <b/>
      <sz val="12"/>
      <color theme="1"/>
      <name val="Calibri"/>
      <family val="2"/>
    </font>
    <font>
      <b/>
      <sz val="10"/>
      <color theme="1"/>
      <name val="Calibri"/>
      <family val="2"/>
    </font>
    <font>
      <b/>
      <sz val="9"/>
      <color rgb="FFF3F3F3"/>
      <name val="Tahoma"/>
      <family val="2"/>
    </font>
    <font>
      <b/>
      <sz val="9"/>
      <color rgb="FFEFEFEF"/>
      <name val="Tahoma"/>
      <family val="2"/>
    </font>
    <font>
      <b/>
      <sz val="9"/>
      <color rgb="FFFF0000"/>
      <name val="Tahoma"/>
      <family val="2"/>
    </font>
    <font>
      <sz val="10"/>
      <color rgb="FFFF0000"/>
      <name val="Calibri"/>
      <family val="2"/>
    </font>
    <font>
      <b/>
      <i/>
      <sz val="10"/>
      <color rgb="FF980000"/>
      <name val="Calibri"/>
      <family val="2"/>
    </font>
    <font>
      <i/>
      <u/>
      <sz val="10"/>
      <color rgb="FF000000"/>
      <name val="Calibri"/>
      <family val="2"/>
    </font>
    <font>
      <b/>
      <sz val="10"/>
      <color rgb="FF000000"/>
      <name val="Calibri"/>
      <family val="2"/>
    </font>
    <font>
      <i/>
      <u/>
      <sz val="8"/>
      <color rgb="FF000000"/>
      <name val="Tahoma"/>
      <family val="2"/>
    </font>
    <font>
      <sz val="10"/>
      <color rgb="FF000000"/>
      <name val="Calibri"/>
      <family val="2"/>
    </font>
    <font>
      <i/>
      <sz val="10"/>
      <color theme="0"/>
      <name val="Calibri"/>
      <family val="2"/>
    </font>
    <font>
      <b/>
      <sz val="10"/>
      <color theme="1"/>
      <name val="Verdana"/>
      <family val="2"/>
    </font>
    <font>
      <b/>
      <sz val="10"/>
      <color rgb="FFE06666"/>
      <name val="Tahoma"/>
      <family val="2"/>
    </font>
    <font>
      <sz val="10"/>
      <color theme="1"/>
      <name val="Verdana"/>
      <family val="2"/>
    </font>
    <font>
      <sz val="9"/>
      <color rgb="FFF3F3F3"/>
      <name val="Verdana"/>
      <family val="2"/>
    </font>
    <font>
      <b/>
      <sz val="9"/>
      <color rgb="FFF3F3F3"/>
      <name val="Verdana"/>
      <family val="2"/>
    </font>
    <font>
      <i/>
      <u/>
      <sz val="10"/>
      <color rgb="FF000000"/>
      <name val="Calibri"/>
      <family val="2"/>
    </font>
    <font>
      <b/>
      <i/>
      <sz val="10"/>
      <color rgb="FF980000"/>
      <name val="Verdana"/>
      <family val="2"/>
    </font>
    <font>
      <b/>
      <sz val="10"/>
      <color rgb="FFF3F3F3"/>
      <name val="Calibri"/>
      <family val="2"/>
    </font>
    <font>
      <b/>
      <sz val="10"/>
      <color rgb="FF03D203"/>
      <name val="Verdana"/>
      <family val="2"/>
    </font>
    <font>
      <sz val="9"/>
      <color theme="1"/>
      <name val="Calibri"/>
      <family val="2"/>
    </font>
    <font>
      <b/>
      <sz val="10"/>
      <color rgb="FFFF00FF"/>
      <name val="Calibri"/>
      <family val="2"/>
    </font>
    <font>
      <b/>
      <sz val="10"/>
      <color rgb="FFFF00FF"/>
      <name val="Verdana"/>
      <family val="2"/>
    </font>
    <font>
      <b/>
      <sz val="9"/>
      <color rgb="FFE06666"/>
      <name val="Tahoma"/>
      <family val="2"/>
    </font>
    <font>
      <b/>
      <i/>
      <sz val="9"/>
      <color rgb="FFFF00FF"/>
      <name val="Tahoma"/>
      <family val="2"/>
    </font>
    <font>
      <b/>
      <sz val="11"/>
      <color rgb="FFFF00FF"/>
      <name val="Calibri"/>
      <family val="2"/>
    </font>
    <font>
      <i/>
      <u/>
      <sz val="10"/>
      <color rgb="FF000000"/>
      <name val="Calibri"/>
      <family val="2"/>
    </font>
    <font>
      <i/>
      <sz val="9"/>
      <color theme="1"/>
      <name val="Tahoma"/>
      <family val="2"/>
    </font>
    <font>
      <i/>
      <u/>
      <sz val="10"/>
      <color rgb="FF000000"/>
      <name val="Calibri"/>
      <family val="2"/>
    </font>
    <font>
      <i/>
      <u/>
      <sz val="8"/>
      <color rgb="FF000000"/>
      <name val="Tahoma"/>
      <family val="2"/>
    </font>
    <font>
      <i/>
      <sz val="8"/>
      <color rgb="FF000000"/>
      <name val="Tahoma"/>
      <family val="2"/>
    </font>
    <font>
      <i/>
      <u/>
      <sz val="10"/>
      <color rgb="FF000000"/>
      <name val="Calibri"/>
      <family val="2"/>
    </font>
    <font>
      <i/>
      <u/>
      <sz val="8"/>
      <color rgb="FF000000"/>
      <name val="Tahoma"/>
      <family val="2"/>
    </font>
    <font>
      <i/>
      <u/>
      <sz val="10"/>
      <color rgb="FF0000FF"/>
      <name val="Calibri"/>
      <family val="2"/>
    </font>
    <font>
      <i/>
      <u/>
      <sz val="10"/>
      <color rgb="FF0000FF"/>
      <name val="Calibri"/>
      <family val="2"/>
    </font>
    <font>
      <i/>
      <u/>
      <sz val="8"/>
      <color rgb="FF0000FF"/>
      <name val="Tahoma"/>
      <family val="2"/>
    </font>
    <font>
      <i/>
      <u/>
      <sz val="8"/>
      <color rgb="FF000000"/>
      <name val="Tahoma"/>
      <family val="2"/>
    </font>
    <font>
      <b/>
      <sz val="8"/>
      <color theme="1"/>
      <name val="Tahoma"/>
      <family val="2"/>
    </font>
    <font>
      <b/>
      <sz val="9"/>
      <color rgb="FFFC04B5"/>
      <name val="Tahoma"/>
      <family val="2"/>
    </font>
    <font>
      <sz val="9"/>
      <color rgb="FF000000"/>
      <name val="Tahoma"/>
      <family val="2"/>
    </font>
    <font>
      <sz val="9"/>
      <color theme="1"/>
      <name val="Tahoma"/>
      <family val="2"/>
    </font>
    <font>
      <b/>
      <u/>
      <sz val="10"/>
      <color rgb="FF0000FF"/>
      <name val="Calibri"/>
      <family val="2"/>
    </font>
    <font>
      <i/>
      <sz val="8"/>
      <color theme="1"/>
      <name val="Tahoma"/>
      <family val="2"/>
    </font>
    <font>
      <i/>
      <u/>
      <sz val="8"/>
      <color rgb="FF0000FF"/>
      <name val="Tahoma"/>
      <family val="2"/>
    </font>
    <font>
      <i/>
      <sz val="10"/>
      <color theme="1"/>
      <name val="Calibri"/>
      <family val="2"/>
    </font>
    <font>
      <i/>
      <u/>
      <sz val="8"/>
      <color rgb="FF0000FF"/>
      <name val="Tahoma"/>
      <family val="2"/>
    </font>
    <font>
      <i/>
      <u/>
      <sz val="8"/>
      <color rgb="FF000000"/>
      <name val="Tahoma"/>
      <family val="2"/>
    </font>
    <font>
      <b/>
      <u/>
      <sz val="10"/>
      <color rgb="FF0000FF"/>
      <name val="Calibri"/>
      <family val="2"/>
    </font>
    <font>
      <i/>
      <u/>
      <sz val="9"/>
      <color rgb="FF000000"/>
      <name val="Tahoma"/>
      <family val="2"/>
    </font>
    <font>
      <sz val="14"/>
      <color rgb="FF000000"/>
      <name val="Calibri"/>
      <family val="2"/>
    </font>
    <font>
      <sz val="10"/>
      <color rgb="FF000000"/>
      <name val="Tahoma"/>
      <family val="2"/>
    </font>
    <font>
      <i/>
      <sz val="14"/>
      <color rgb="FF000000"/>
      <name val="Calibri"/>
      <family val="2"/>
    </font>
    <font>
      <b/>
      <u/>
      <sz val="8"/>
      <color rgb="FF0000FF"/>
      <name val="Tahoma"/>
      <family val="2"/>
    </font>
    <font>
      <b/>
      <u/>
      <sz val="10"/>
      <color rgb="FF0000FF"/>
      <name val="Calibri"/>
      <family val="2"/>
    </font>
    <font>
      <b/>
      <u/>
      <sz val="8"/>
      <color rgb="FF0000FF"/>
      <name val="Tahoma"/>
      <family val="2"/>
    </font>
    <font>
      <b/>
      <u/>
      <sz val="10"/>
      <color rgb="FF0000FF"/>
      <name val="Calibri"/>
      <family val="2"/>
    </font>
    <font>
      <b/>
      <u/>
      <sz val="14"/>
      <color rgb="FF1155CC"/>
      <name val="Calibri"/>
      <family val="2"/>
    </font>
    <font>
      <b/>
      <sz val="14"/>
      <color theme="1"/>
      <name val="Chakra Petch"/>
    </font>
    <font>
      <b/>
      <sz val="14"/>
      <color rgb="FFF79646"/>
      <name val="Chakra Petch"/>
    </font>
    <font>
      <b/>
      <sz val="14"/>
      <color rgb="FFFF0000"/>
      <name val="Chakra Petch"/>
    </font>
    <font>
      <b/>
      <sz val="14"/>
      <color rgb="FFFF9900"/>
      <name val="Chakra Petch"/>
    </font>
    <font>
      <b/>
      <sz val="10"/>
      <color rgb="FF0000FF"/>
      <name val="Sarabun"/>
    </font>
    <font>
      <b/>
      <sz val="12"/>
      <color rgb="FFFF0000"/>
      <name val="Tahoma"/>
      <family val="2"/>
    </font>
    <font>
      <sz val="12"/>
      <color rgb="FF000000"/>
      <name val="Calibri, sans-serif"/>
    </font>
    <font>
      <sz val="9"/>
      <name val="Calibri"/>
      <family val="3"/>
      <charset val="136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B1AE"/>
        <bgColor rgb="FFFFB1AE"/>
      </patternFill>
    </fill>
    <fill>
      <patternFill patternType="solid">
        <fgColor rgb="FFFF0000"/>
        <bgColor rgb="FFFF0000"/>
      </patternFill>
    </fill>
    <fill>
      <patternFill patternType="solid">
        <fgColor rgb="FFDAEDF3"/>
        <bgColor rgb="FFDAEDF3"/>
      </patternFill>
    </fill>
    <fill>
      <patternFill patternType="solid">
        <fgColor rgb="FFFFE1DF"/>
        <bgColor rgb="FFFFE1DF"/>
      </patternFill>
    </fill>
    <fill>
      <patternFill patternType="solid">
        <fgColor rgb="FFE1F4C8"/>
        <bgColor rgb="FFE1F4C8"/>
      </patternFill>
    </fill>
    <fill>
      <patternFill patternType="solid">
        <fgColor rgb="FF4A86E8"/>
        <bgColor rgb="FF4A86E8"/>
      </patternFill>
    </fill>
    <fill>
      <patternFill patternType="solid">
        <fgColor rgb="FFEFEFEF"/>
        <bgColor rgb="FFEFEFEF"/>
      </patternFill>
    </fill>
    <fill>
      <patternFill patternType="solid">
        <fgColor rgb="FFE4DFEC"/>
        <bgColor rgb="FFE4DFEC"/>
      </patternFill>
    </fill>
    <fill>
      <patternFill patternType="solid">
        <fgColor rgb="FFFFF2CC"/>
        <bgColor rgb="FFFFF2CC"/>
      </patternFill>
    </fill>
    <fill>
      <patternFill patternType="solid">
        <fgColor rgb="FFCDE9FF"/>
        <bgColor rgb="FFCDE9FF"/>
      </patternFill>
    </fill>
    <fill>
      <patternFill patternType="solid">
        <fgColor rgb="FFF4CAA8"/>
        <bgColor rgb="FFF4CAA8"/>
      </patternFill>
    </fill>
    <fill>
      <patternFill patternType="solid">
        <fgColor rgb="FF674EA7"/>
        <bgColor rgb="FF674EA7"/>
      </patternFill>
    </fill>
    <fill>
      <patternFill patternType="solid">
        <fgColor rgb="FFE1BBBB"/>
        <bgColor rgb="FFE1BBBB"/>
      </patternFill>
    </fill>
    <fill>
      <patternFill patternType="solid">
        <fgColor rgb="FFCFE2F3"/>
        <bgColor rgb="FFCFE2F3"/>
      </patternFill>
    </fill>
    <fill>
      <patternFill patternType="solid">
        <fgColor rgb="FFEAD1DC"/>
        <bgColor rgb="FFEAD1DC"/>
      </patternFill>
    </fill>
    <fill>
      <patternFill patternType="solid">
        <fgColor rgb="FFD9D9D9"/>
        <bgColor rgb="FFD9D9D9"/>
      </patternFill>
    </fill>
    <fill>
      <patternFill patternType="solid">
        <fgColor rgb="FFE37C9A"/>
        <bgColor rgb="FFE37C9A"/>
      </patternFill>
    </fill>
    <fill>
      <patternFill patternType="solid">
        <fgColor rgb="FF9FC5E8"/>
        <bgColor rgb="FF9FC5E8"/>
      </patternFill>
    </fill>
    <fill>
      <patternFill patternType="solid">
        <fgColor theme="0"/>
        <bgColor theme="0"/>
      </patternFill>
    </fill>
    <fill>
      <patternFill patternType="solid">
        <fgColor rgb="FFFFEBEB"/>
        <bgColor rgb="FFFFEBEB"/>
      </patternFill>
    </fill>
    <fill>
      <patternFill patternType="solid">
        <fgColor rgb="FFEA9999"/>
        <bgColor rgb="FFEA9999"/>
      </patternFill>
    </fill>
    <fill>
      <patternFill patternType="solid">
        <fgColor rgb="FFFFDFF9"/>
        <bgColor rgb="FFFFDFF9"/>
      </patternFill>
    </fill>
    <fill>
      <patternFill patternType="solid">
        <fgColor rgb="FF999999"/>
        <bgColor rgb="FF999999"/>
      </patternFill>
    </fill>
    <fill>
      <patternFill patternType="solid">
        <fgColor rgb="FFB6D7A8"/>
        <bgColor rgb="FFB6D7A8"/>
      </patternFill>
    </fill>
    <fill>
      <patternFill patternType="solid">
        <fgColor rgb="FFCCCCCC"/>
        <bgColor rgb="FFCCCCCC"/>
      </patternFill>
    </fill>
  </fills>
  <borders count="88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medium">
        <color rgb="FFCCCCCC"/>
      </right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596">
    <xf numFmtId="0" fontId="0" fillId="0" borderId="0" xfId="0"/>
    <xf numFmtId="0" fontId="1" fillId="0" borderId="0" xfId="0" applyFont="1"/>
    <xf numFmtId="176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  <xf numFmtId="0" fontId="5" fillId="2" borderId="0" xfId="0" applyFont="1" applyFill="1" applyAlignment="1">
      <alignment horizontal="left" vertical="center" wrapText="1"/>
    </xf>
    <xf numFmtId="10" fontId="6" fillId="0" borderId="0" xfId="0" applyNumberFormat="1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 vertical="center"/>
    </xf>
    <xf numFmtId="0" fontId="5" fillId="2" borderId="0" xfId="0" applyFont="1" applyFill="1" applyAlignment="1">
      <alignment horizontal="right" vertical="center" wrapText="1"/>
    </xf>
    <xf numFmtId="0" fontId="10" fillId="3" borderId="1" xfId="0" applyFont="1" applyFill="1" applyBorder="1"/>
    <xf numFmtId="0" fontId="11" fillId="0" borderId="0" xfId="0" applyFont="1"/>
    <xf numFmtId="0" fontId="12" fillId="3" borderId="2" xfId="0" applyFont="1" applyFill="1" applyBorder="1"/>
    <xf numFmtId="0" fontId="13" fillId="3" borderId="2" xfId="0" applyFont="1" applyFill="1" applyBorder="1" applyAlignment="1">
      <alignment horizontal="left"/>
    </xf>
    <xf numFmtId="0" fontId="14" fillId="2" borderId="0" xfId="0" applyFont="1" applyFill="1" applyAlignment="1">
      <alignment horizontal="center"/>
    </xf>
    <xf numFmtId="0" fontId="16" fillId="0" borderId="0" xfId="0" applyFont="1" applyAlignment="1">
      <alignment horizontal="center" vertical="center"/>
    </xf>
    <xf numFmtId="0" fontId="17" fillId="2" borderId="0" xfId="0" applyFont="1" applyFill="1"/>
    <xf numFmtId="0" fontId="18" fillId="2" borderId="0" xfId="0" applyFont="1" applyFill="1" applyAlignment="1">
      <alignment horizontal="left" vertical="center"/>
    </xf>
    <xf numFmtId="0" fontId="14" fillId="0" borderId="0" xfId="0" applyFont="1" applyAlignment="1">
      <alignment horizontal="center"/>
    </xf>
    <xf numFmtId="0" fontId="14" fillId="0" borderId="0" xfId="0" applyFont="1"/>
    <xf numFmtId="0" fontId="19" fillId="3" borderId="2" xfId="0" applyFont="1" applyFill="1" applyBorder="1"/>
    <xf numFmtId="0" fontId="8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19" fillId="3" borderId="2" xfId="0" applyFont="1" applyFill="1" applyBorder="1" applyAlignment="1">
      <alignment horizontal="left"/>
    </xf>
    <xf numFmtId="0" fontId="22" fillId="0" borderId="0" xfId="0" applyFont="1"/>
    <xf numFmtId="0" fontId="6" fillId="0" borderId="0" xfId="0" applyFont="1" applyAlignment="1">
      <alignment horizontal="left"/>
    </xf>
    <xf numFmtId="0" fontId="24" fillId="3" borderId="6" xfId="0" applyFont="1" applyFill="1" applyBorder="1"/>
    <xf numFmtId="0" fontId="5" fillId="2" borderId="0" xfId="0" applyFont="1" applyFill="1" applyAlignment="1">
      <alignment horizontal="right" vertical="top" wrapText="1"/>
    </xf>
    <xf numFmtId="0" fontId="26" fillId="6" borderId="8" xfId="0" applyFont="1" applyFill="1" applyBorder="1" applyAlignment="1">
      <alignment horizontal="left"/>
    </xf>
    <xf numFmtId="0" fontId="26" fillId="6" borderId="0" xfId="0" applyFont="1" applyFill="1" applyAlignment="1">
      <alignment horizontal="left"/>
    </xf>
    <xf numFmtId="0" fontId="20" fillId="5" borderId="11" xfId="0" applyFont="1" applyFill="1" applyBorder="1" applyAlignment="1">
      <alignment horizontal="center"/>
    </xf>
    <xf numFmtId="0" fontId="29" fillId="5" borderId="11" xfId="0" applyFont="1" applyFill="1" applyBorder="1" applyAlignment="1">
      <alignment horizontal="center"/>
    </xf>
    <xf numFmtId="0" fontId="30" fillId="0" borderId="0" xfId="0" applyFont="1"/>
    <xf numFmtId="0" fontId="30" fillId="0" borderId="11" xfId="0" applyFont="1" applyBorder="1" applyAlignment="1">
      <alignment horizontal="center"/>
    </xf>
    <xf numFmtId="0" fontId="31" fillId="0" borderId="11" xfId="0" applyFont="1" applyBorder="1" applyAlignment="1">
      <alignment horizontal="center"/>
    </xf>
    <xf numFmtId="0" fontId="30" fillId="0" borderId="4" xfId="0" applyFont="1" applyBorder="1" applyAlignment="1">
      <alignment horizontal="center"/>
    </xf>
    <xf numFmtId="0" fontId="26" fillId="6" borderId="0" xfId="0" applyFont="1" applyFill="1" applyAlignment="1">
      <alignment horizontal="center"/>
    </xf>
    <xf numFmtId="0" fontId="33" fillId="0" borderId="0" xfId="0" applyFont="1" applyAlignment="1">
      <alignment horizontal="center" vertical="center"/>
    </xf>
    <xf numFmtId="0" fontId="34" fillId="2" borderId="0" xfId="0" applyFont="1" applyFill="1" applyAlignment="1">
      <alignment horizontal="left" vertical="center"/>
    </xf>
    <xf numFmtId="0" fontId="26" fillId="6" borderId="14" xfId="0" applyFont="1" applyFill="1" applyBorder="1" applyAlignment="1">
      <alignment horizontal="left"/>
    </xf>
    <xf numFmtId="0" fontId="29" fillId="5" borderId="4" xfId="0" applyFont="1" applyFill="1" applyBorder="1" applyAlignment="1">
      <alignment horizontal="center"/>
    </xf>
    <xf numFmtId="0" fontId="35" fillId="0" borderId="8" xfId="0" applyFont="1" applyBorder="1" applyAlignment="1">
      <alignment horizontal="left"/>
    </xf>
    <xf numFmtId="0" fontId="35" fillId="2" borderId="0" xfId="0" applyFont="1" applyFill="1" applyAlignment="1">
      <alignment horizontal="left"/>
    </xf>
    <xf numFmtId="0" fontId="35" fillId="0" borderId="0" xfId="0" applyFont="1" applyAlignment="1">
      <alignment horizontal="left"/>
    </xf>
    <xf numFmtId="0" fontId="37" fillId="2" borderId="0" xfId="0" applyFont="1" applyFill="1" applyAlignment="1">
      <alignment horizontal="left" vertical="center"/>
    </xf>
    <xf numFmtId="0" fontId="38" fillId="2" borderId="15" xfId="0" applyFont="1" applyFill="1" applyBorder="1" applyAlignment="1">
      <alignment horizontal="left" vertical="center"/>
    </xf>
    <xf numFmtId="0" fontId="38" fillId="2" borderId="16" xfId="0" applyFont="1" applyFill="1" applyBorder="1" applyAlignment="1">
      <alignment horizontal="left" vertical="center"/>
    </xf>
    <xf numFmtId="0" fontId="39" fillId="0" borderId="0" xfId="0" applyFont="1" applyAlignment="1">
      <alignment horizontal="left" vertical="top"/>
    </xf>
    <xf numFmtId="0" fontId="39" fillId="0" borderId="0" xfId="0" applyFont="1" applyAlignment="1">
      <alignment horizontal="right"/>
    </xf>
    <xf numFmtId="0" fontId="40" fillId="0" borderId="0" xfId="0" applyFont="1"/>
    <xf numFmtId="0" fontId="38" fillId="2" borderId="17" xfId="0" applyFont="1" applyFill="1" applyBorder="1" applyAlignment="1">
      <alignment horizontal="left" vertical="center"/>
    </xf>
    <xf numFmtId="0" fontId="39" fillId="0" borderId="14" xfId="0" applyFont="1" applyBorder="1" applyAlignment="1">
      <alignment vertical="center" shrinkToFit="1"/>
    </xf>
    <xf numFmtId="0" fontId="33" fillId="0" borderId="0" xfId="0" applyFont="1" applyAlignment="1">
      <alignment horizontal="center"/>
    </xf>
    <xf numFmtId="0" fontId="21" fillId="0" borderId="0" xfId="0" applyFont="1"/>
    <xf numFmtId="0" fontId="39" fillId="0" borderId="0" xfId="0" applyFont="1" applyAlignment="1">
      <alignment horizontal="left"/>
    </xf>
    <xf numFmtId="0" fontId="42" fillId="2" borderId="0" xfId="0" applyFont="1" applyFill="1" applyAlignment="1">
      <alignment horizontal="left" vertical="center"/>
    </xf>
    <xf numFmtId="176" fontId="43" fillId="0" borderId="0" xfId="0" applyNumberFormat="1" applyFont="1"/>
    <xf numFmtId="0" fontId="44" fillId="8" borderId="1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44" fillId="8" borderId="11" xfId="0" applyFont="1" applyFill="1" applyBorder="1" applyAlignment="1">
      <alignment horizontal="left"/>
    </xf>
    <xf numFmtId="0" fontId="47" fillId="8" borderId="20" xfId="0" applyFont="1" applyFill="1" applyBorder="1" applyAlignment="1">
      <alignment horizontal="center" vertical="center"/>
    </xf>
    <xf numFmtId="0" fontId="29" fillId="0" borderId="11" xfId="0" applyFont="1" applyBorder="1" applyAlignment="1">
      <alignment horizontal="center"/>
    </xf>
    <xf numFmtId="0" fontId="48" fillId="0" borderId="11" xfId="0" applyFont="1" applyBorder="1" applyAlignment="1">
      <alignment horizontal="center"/>
    </xf>
    <xf numFmtId="0" fontId="46" fillId="9" borderId="7" xfId="0" applyFont="1" applyFill="1" applyBorder="1" applyAlignment="1">
      <alignment horizontal="center"/>
    </xf>
    <xf numFmtId="0" fontId="46" fillId="0" borderId="7" xfId="0" applyFont="1" applyBorder="1" applyAlignment="1">
      <alignment horizontal="center"/>
    </xf>
    <xf numFmtId="0" fontId="49" fillId="8" borderId="21" xfId="0" applyFont="1" applyFill="1" applyBorder="1" applyAlignment="1">
      <alignment horizontal="center" vertical="center"/>
    </xf>
    <xf numFmtId="0" fontId="29" fillId="0" borderId="11" xfId="0" applyFont="1" applyBorder="1" applyAlignment="1">
      <alignment horizontal="left"/>
    </xf>
    <xf numFmtId="0" fontId="39" fillId="2" borderId="0" xfId="0" applyFont="1" applyFill="1" applyAlignment="1">
      <alignment horizontal="right"/>
    </xf>
    <xf numFmtId="177" fontId="29" fillId="0" borderId="11" xfId="0" applyNumberFormat="1" applyFont="1" applyBorder="1" applyAlignment="1">
      <alignment horizontal="center"/>
    </xf>
    <xf numFmtId="0" fontId="47" fillId="8" borderId="21" xfId="0" applyFont="1" applyFill="1" applyBorder="1" applyAlignment="1">
      <alignment horizontal="center" vertical="center"/>
    </xf>
    <xf numFmtId="0" fontId="50" fillId="0" borderId="11" xfId="0" applyFont="1" applyBorder="1" applyAlignment="1">
      <alignment horizontal="center"/>
    </xf>
    <xf numFmtId="0" fontId="46" fillId="9" borderId="22" xfId="0" applyFont="1" applyFill="1" applyBorder="1"/>
    <xf numFmtId="0" fontId="51" fillId="8" borderId="23" xfId="0" applyFont="1" applyFill="1" applyBorder="1" applyAlignment="1">
      <alignment horizontal="center" vertical="center"/>
    </xf>
    <xf numFmtId="0" fontId="35" fillId="2" borderId="8" xfId="0" applyFont="1" applyFill="1" applyBorder="1" applyAlignment="1">
      <alignment horizontal="left"/>
    </xf>
    <xf numFmtId="0" fontId="44" fillId="2" borderId="11" xfId="0" applyFont="1" applyFill="1" applyBorder="1" applyAlignment="1">
      <alignment horizontal="center"/>
    </xf>
    <xf numFmtId="0" fontId="52" fillId="9" borderId="22" xfId="0" applyFont="1" applyFill="1" applyBorder="1" applyAlignment="1">
      <alignment horizontal="center"/>
    </xf>
    <xf numFmtId="0" fontId="26" fillId="12" borderId="8" xfId="0" applyFont="1" applyFill="1" applyBorder="1" applyAlignment="1">
      <alignment horizontal="left"/>
    </xf>
    <xf numFmtId="0" fontId="44" fillId="2" borderId="11" xfId="0" applyFont="1" applyFill="1" applyBorder="1" applyAlignment="1">
      <alignment horizontal="left"/>
    </xf>
    <xf numFmtId="0" fontId="54" fillId="9" borderId="22" xfId="0" applyFont="1" applyFill="1" applyBorder="1" applyAlignment="1">
      <alignment horizontal="center"/>
    </xf>
    <xf numFmtId="0" fontId="55" fillId="9" borderId="22" xfId="0" applyFont="1" applyFill="1" applyBorder="1" applyAlignment="1">
      <alignment horizontal="center"/>
    </xf>
    <xf numFmtId="178" fontId="56" fillId="7" borderId="26" xfId="0" applyNumberFormat="1" applyFont="1" applyFill="1" applyBorder="1" applyAlignment="1">
      <alignment horizontal="center" vertical="center"/>
    </xf>
    <xf numFmtId="0" fontId="26" fillId="12" borderId="0" xfId="0" applyFont="1" applyFill="1" applyAlignment="1">
      <alignment horizontal="left"/>
    </xf>
    <xf numFmtId="179" fontId="44" fillId="2" borderId="11" xfId="0" applyNumberFormat="1" applyFont="1" applyFill="1" applyBorder="1" applyAlignment="1">
      <alignment horizontal="center"/>
    </xf>
    <xf numFmtId="0" fontId="46" fillId="0" borderId="22" xfId="0" applyFont="1" applyBorder="1"/>
    <xf numFmtId="0" fontId="50" fillId="2" borderId="11" xfId="0" applyFont="1" applyFill="1" applyBorder="1" applyAlignment="1">
      <alignment horizontal="center"/>
    </xf>
    <xf numFmtId="179" fontId="29" fillId="0" borderId="11" xfId="0" applyNumberFormat="1" applyFont="1" applyBorder="1" applyAlignment="1">
      <alignment horizontal="center"/>
    </xf>
    <xf numFmtId="0" fontId="30" fillId="0" borderId="11" xfId="0" applyFont="1" applyBorder="1" applyAlignment="1">
      <alignment horizontal="left"/>
    </xf>
    <xf numFmtId="0" fontId="31" fillId="2" borderId="11" xfId="0" applyFont="1" applyFill="1" applyBorder="1" applyAlignment="1">
      <alignment horizontal="center"/>
    </xf>
    <xf numFmtId="0" fontId="58" fillId="0" borderId="22" xfId="0" applyFont="1" applyBorder="1" applyAlignment="1">
      <alignment horizontal="center"/>
    </xf>
    <xf numFmtId="177" fontId="31" fillId="2" borderId="11" xfId="0" applyNumberFormat="1" applyFont="1" applyFill="1" applyBorder="1" applyAlignment="1">
      <alignment horizontal="center"/>
    </xf>
    <xf numFmtId="0" fontId="26" fillId="12" borderId="0" xfId="0" applyFont="1" applyFill="1" applyAlignment="1">
      <alignment horizontal="center"/>
    </xf>
    <xf numFmtId="0" fontId="60" fillId="0" borderId="22" xfId="0" applyFont="1" applyBorder="1" applyAlignment="1">
      <alignment horizontal="center"/>
    </xf>
    <xf numFmtId="0" fontId="26" fillId="12" borderId="14" xfId="0" applyFont="1" applyFill="1" applyBorder="1" applyAlignment="1">
      <alignment horizontal="left"/>
    </xf>
    <xf numFmtId="180" fontId="31" fillId="2" borderId="11" xfId="0" applyNumberFormat="1" applyFont="1" applyFill="1" applyBorder="1" applyAlignment="1">
      <alignment horizontal="center"/>
    </xf>
    <xf numFmtId="179" fontId="31" fillId="2" borderId="11" xfId="0" applyNumberFormat="1" applyFont="1" applyFill="1" applyBorder="1" applyAlignment="1">
      <alignment horizontal="center"/>
    </xf>
    <xf numFmtId="0" fontId="62" fillId="0" borderId="22" xfId="0" applyFont="1" applyBorder="1" applyAlignment="1">
      <alignment horizontal="center"/>
    </xf>
    <xf numFmtId="181" fontId="31" fillId="2" borderId="11" xfId="0" applyNumberFormat="1" applyFont="1" applyFill="1" applyBorder="1" applyAlignment="1">
      <alignment horizontal="center"/>
    </xf>
    <xf numFmtId="0" fontId="24" fillId="0" borderId="0" xfId="0" applyFont="1" applyAlignment="1">
      <alignment horizontal="left" vertical="top"/>
    </xf>
    <xf numFmtId="179" fontId="30" fillId="0" borderId="11" xfId="0" applyNumberFormat="1" applyFont="1" applyBorder="1" applyAlignment="1">
      <alignment horizontal="center"/>
    </xf>
    <xf numFmtId="0" fontId="47" fillId="8" borderId="35" xfId="0" applyFont="1" applyFill="1" applyBorder="1" applyAlignment="1">
      <alignment horizontal="center" vertical="center"/>
    </xf>
    <xf numFmtId="0" fontId="24" fillId="0" borderId="0" xfId="0" applyFont="1" applyAlignment="1">
      <alignment horizontal="right" vertical="center" shrinkToFit="1"/>
    </xf>
    <xf numFmtId="0" fontId="31" fillId="2" borderId="11" xfId="0" applyFont="1" applyFill="1" applyBorder="1" applyAlignment="1">
      <alignment horizontal="left"/>
    </xf>
    <xf numFmtId="0" fontId="49" fillId="8" borderId="36" xfId="0" applyFont="1" applyFill="1" applyBorder="1" applyAlignment="1">
      <alignment horizontal="center" vertical="center"/>
    </xf>
    <xf numFmtId="181" fontId="31" fillId="2" borderId="11" xfId="0" applyNumberFormat="1" applyFont="1" applyFill="1" applyBorder="1" applyAlignment="1">
      <alignment horizontal="left"/>
    </xf>
    <xf numFmtId="0" fontId="64" fillId="0" borderId="22" xfId="0" applyFont="1" applyBorder="1" applyAlignment="1">
      <alignment horizontal="center"/>
    </xf>
    <xf numFmtId="177" fontId="31" fillId="2" borderId="11" xfId="0" applyNumberFormat="1" applyFont="1" applyFill="1" applyBorder="1" applyAlignment="1">
      <alignment horizontal="left"/>
    </xf>
    <xf numFmtId="0" fontId="39" fillId="0" borderId="0" xfId="0" applyFont="1" applyAlignment="1">
      <alignment vertical="top"/>
    </xf>
    <xf numFmtId="0" fontId="47" fillId="8" borderId="37" xfId="0" applyFont="1" applyFill="1" applyBorder="1" applyAlignment="1">
      <alignment horizontal="center" vertical="center"/>
    </xf>
    <xf numFmtId="0" fontId="65" fillId="0" borderId="22" xfId="0" applyFont="1" applyBorder="1" applyAlignment="1">
      <alignment horizontal="center"/>
    </xf>
    <xf numFmtId="180" fontId="31" fillId="2" borderId="11" xfId="0" applyNumberFormat="1" applyFont="1" applyFill="1" applyBorder="1" applyAlignment="1">
      <alignment horizontal="left"/>
    </xf>
    <xf numFmtId="0" fontId="26" fillId="7" borderId="8" xfId="0" applyFont="1" applyFill="1" applyBorder="1" applyAlignment="1">
      <alignment horizontal="left"/>
    </xf>
    <xf numFmtId="0" fontId="26" fillId="7" borderId="0" xfId="0" applyFont="1" applyFill="1" applyAlignment="1">
      <alignment horizontal="left"/>
    </xf>
    <xf numFmtId="0" fontId="66" fillId="0" borderId="22" xfId="0" applyFont="1" applyBorder="1"/>
    <xf numFmtId="0" fontId="26" fillId="7" borderId="0" xfId="0" applyFont="1" applyFill="1" applyAlignment="1">
      <alignment horizontal="center"/>
    </xf>
    <xf numFmtId="0" fontId="26" fillId="7" borderId="14" xfId="0" applyFont="1" applyFill="1" applyBorder="1" applyAlignment="1">
      <alignment horizontal="left"/>
    </xf>
    <xf numFmtId="0" fontId="32" fillId="9" borderId="22" xfId="0" applyFont="1" applyFill="1" applyBorder="1" applyAlignment="1">
      <alignment horizontal="center"/>
    </xf>
    <xf numFmtId="0" fontId="26" fillId="13" borderId="8" xfId="0" applyFont="1" applyFill="1" applyBorder="1" applyAlignment="1">
      <alignment horizontal="left"/>
    </xf>
    <xf numFmtId="0" fontId="62" fillId="9" borderId="22" xfId="0" applyFont="1" applyFill="1" applyBorder="1" applyAlignment="1">
      <alignment horizontal="center"/>
    </xf>
    <xf numFmtId="0" fontId="26" fillId="13" borderId="0" xfId="0" applyFont="1" applyFill="1" applyAlignment="1">
      <alignment horizontal="left"/>
    </xf>
    <xf numFmtId="0" fontId="64" fillId="9" borderId="22" xfId="0" applyFont="1" applyFill="1" applyBorder="1" applyAlignment="1">
      <alignment horizontal="center"/>
    </xf>
    <xf numFmtId="0" fontId="32" fillId="0" borderId="22" xfId="0" applyFont="1" applyBorder="1" applyAlignment="1">
      <alignment horizontal="center" vertical="center"/>
    </xf>
    <xf numFmtId="0" fontId="65" fillId="2" borderId="22" xfId="0" applyFont="1" applyFill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32" fillId="0" borderId="22" xfId="0" applyFont="1" applyBorder="1" applyAlignment="1">
      <alignment horizontal="center"/>
    </xf>
    <xf numFmtId="0" fontId="69" fillId="9" borderId="22" xfId="0" applyFont="1" applyFill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70" fillId="9" borderId="25" xfId="0" applyFont="1" applyFill="1" applyBorder="1"/>
    <xf numFmtId="0" fontId="33" fillId="9" borderId="11" xfId="0" applyFont="1" applyFill="1" applyBorder="1" applyAlignment="1">
      <alignment horizontal="center"/>
    </xf>
    <xf numFmtId="0" fontId="30" fillId="2" borderId="11" xfId="0" applyFont="1" applyFill="1" applyBorder="1" applyAlignment="1">
      <alignment horizontal="center"/>
    </xf>
    <xf numFmtId="0" fontId="26" fillId="13" borderId="0" xfId="0" applyFont="1" applyFill="1" applyAlignment="1">
      <alignment horizontal="center"/>
    </xf>
    <xf numFmtId="0" fontId="26" fillId="13" borderId="14" xfId="0" applyFont="1" applyFill="1" applyBorder="1" applyAlignment="1">
      <alignment horizontal="left"/>
    </xf>
    <xf numFmtId="0" fontId="30" fillId="2" borderId="11" xfId="0" applyFont="1" applyFill="1" applyBorder="1" applyAlignment="1">
      <alignment horizontal="left"/>
    </xf>
    <xf numFmtId="0" fontId="33" fillId="9" borderId="22" xfId="0" applyFont="1" applyFill="1" applyBorder="1" applyAlignment="1">
      <alignment horizontal="center"/>
    </xf>
    <xf numFmtId="0" fontId="70" fillId="0" borderId="25" xfId="0" applyFont="1" applyBorder="1"/>
    <xf numFmtId="0" fontId="26" fillId="15" borderId="8" xfId="0" applyFont="1" applyFill="1" applyBorder="1" applyAlignment="1">
      <alignment horizontal="left"/>
    </xf>
    <xf numFmtId="0" fontId="30" fillId="16" borderId="11" xfId="0" applyFont="1" applyFill="1" applyBorder="1" applyAlignment="1">
      <alignment horizontal="center"/>
    </xf>
    <xf numFmtId="0" fontId="33" fillId="0" borderId="22" xfId="0" applyFont="1" applyBorder="1"/>
    <xf numFmtId="0" fontId="26" fillId="15" borderId="0" xfId="0" applyFont="1" applyFill="1" applyAlignment="1">
      <alignment horizontal="left"/>
    </xf>
    <xf numFmtId="0" fontId="26" fillId="15" borderId="0" xfId="0" applyFont="1" applyFill="1" applyAlignment="1">
      <alignment horizontal="center"/>
    </xf>
    <xf numFmtId="0" fontId="30" fillId="16" borderId="11" xfId="0" applyFont="1" applyFill="1" applyBorder="1" applyAlignment="1">
      <alignment horizontal="left"/>
    </xf>
    <xf numFmtId="0" fontId="47" fillId="8" borderId="39" xfId="0" applyFont="1" applyFill="1" applyBorder="1" applyAlignment="1">
      <alignment horizontal="center" vertical="center"/>
    </xf>
    <xf numFmtId="0" fontId="26" fillId="15" borderId="14" xfId="0" applyFont="1" applyFill="1" applyBorder="1" applyAlignment="1">
      <alignment horizontal="left"/>
    </xf>
    <xf numFmtId="177" fontId="30" fillId="16" borderId="11" xfId="0" applyNumberFormat="1" applyFont="1" applyFill="1" applyBorder="1" applyAlignment="1">
      <alignment horizontal="center"/>
    </xf>
    <xf numFmtId="0" fontId="49" fillId="8" borderId="43" xfId="0" applyFont="1" applyFill="1" applyBorder="1" applyAlignment="1">
      <alignment horizontal="center" vertical="center"/>
    </xf>
    <xf numFmtId="0" fontId="33" fillId="0" borderId="22" xfId="0" applyFont="1" applyBorder="1" applyAlignment="1">
      <alignment horizontal="center"/>
    </xf>
    <xf numFmtId="0" fontId="47" fillId="8" borderId="44" xfId="0" applyFont="1" applyFill="1" applyBorder="1" applyAlignment="1">
      <alignment horizontal="center" vertical="center"/>
    </xf>
    <xf numFmtId="0" fontId="16" fillId="17" borderId="45" xfId="0" applyFont="1" applyFill="1" applyBorder="1" applyAlignment="1">
      <alignment horizontal="center" vertical="center" wrapText="1"/>
    </xf>
    <xf numFmtId="0" fontId="16" fillId="16" borderId="45" xfId="0" applyFont="1" applyFill="1" applyBorder="1" applyAlignment="1">
      <alignment horizontal="center" vertical="center" wrapText="1"/>
    </xf>
    <xf numFmtId="0" fontId="33" fillId="0" borderId="25" xfId="0" applyFont="1" applyBorder="1" applyAlignment="1">
      <alignment horizontal="right"/>
    </xf>
    <xf numFmtId="0" fontId="33" fillId="0" borderId="11" xfId="0" applyFont="1" applyBorder="1" applyAlignment="1">
      <alignment horizontal="center"/>
    </xf>
    <xf numFmtId="0" fontId="26" fillId="10" borderId="8" xfId="0" applyFont="1" applyFill="1" applyBorder="1" applyAlignment="1">
      <alignment horizontal="left"/>
    </xf>
    <xf numFmtId="0" fontId="31" fillId="16" borderId="11" xfId="0" applyFont="1" applyFill="1" applyBorder="1" applyAlignment="1">
      <alignment horizontal="center"/>
    </xf>
    <xf numFmtId="0" fontId="26" fillId="10" borderId="0" xfId="0" applyFont="1" applyFill="1" applyAlignment="1">
      <alignment horizontal="left"/>
    </xf>
    <xf numFmtId="0" fontId="31" fillId="16" borderId="11" xfId="0" applyFont="1" applyFill="1" applyBorder="1" applyAlignment="1">
      <alignment horizontal="left"/>
    </xf>
    <xf numFmtId="0" fontId="33" fillId="0" borderId="11" xfId="0" applyFont="1" applyBorder="1"/>
    <xf numFmtId="177" fontId="31" fillId="16" borderId="11" xfId="0" applyNumberFormat="1" applyFont="1" applyFill="1" applyBorder="1" applyAlignment="1">
      <alignment horizontal="center"/>
    </xf>
    <xf numFmtId="0" fontId="33" fillId="0" borderId="38" xfId="0" applyFont="1" applyBorder="1"/>
    <xf numFmtId="0" fontId="26" fillId="10" borderId="0" xfId="0" applyFont="1" applyFill="1" applyAlignment="1">
      <alignment horizontal="left" vertical="top"/>
    </xf>
    <xf numFmtId="0" fontId="26" fillId="10" borderId="0" xfId="0" applyFont="1" applyFill="1" applyAlignment="1">
      <alignment horizontal="center"/>
    </xf>
    <xf numFmtId="0" fontId="26" fillId="10" borderId="14" xfId="0" applyFont="1" applyFill="1" applyBorder="1" applyAlignment="1">
      <alignment horizontal="left"/>
    </xf>
    <xf numFmtId="0" fontId="74" fillId="0" borderId="22" xfId="0" applyFont="1" applyBorder="1" applyAlignment="1">
      <alignment horizontal="center"/>
    </xf>
    <xf numFmtId="0" fontId="29" fillId="2" borderId="11" xfId="0" applyFont="1" applyFill="1" applyBorder="1" applyAlignment="1">
      <alignment horizontal="center"/>
    </xf>
    <xf numFmtId="49" fontId="75" fillId="18" borderId="22" xfId="0" applyNumberFormat="1" applyFont="1" applyFill="1" applyBorder="1" applyAlignment="1">
      <alignment horizontal="center" vertical="center"/>
    </xf>
    <xf numFmtId="49" fontId="75" fillId="18" borderId="22" xfId="0" applyNumberFormat="1" applyFont="1" applyFill="1" applyBorder="1" applyAlignment="1">
      <alignment vertical="center" wrapText="1"/>
    </xf>
    <xf numFmtId="0" fontId="33" fillId="9" borderId="11" xfId="0" applyFont="1" applyFill="1" applyBorder="1"/>
    <xf numFmtId="179" fontId="30" fillId="2" borderId="11" xfId="0" applyNumberFormat="1" applyFont="1" applyFill="1" applyBorder="1" applyAlignment="1">
      <alignment horizontal="center"/>
    </xf>
    <xf numFmtId="0" fontId="75" fillId="18" borderId="22" xfId="0" applyFont="1" applyFill="1" applyBorder="1" applyAlignment="1">
      <alignment vertical="center"/>
    </xf>
    <xf numFmtId="0" fontId="19" fillId="0" borderId="0" xfId="0" applyFont="1"/>
    <xf numFmtId="0" fontId="33" fillId="9" borderId="22" xfId="0" applyFont="1" applyFill="1" applyBorder="1"/>
    <xf numFmtId="178" fontId="75" fillId="18" borderId="11" xfId="0" applyNumberFormat="1" applyFont="1" applyFill="1" applyBorder="1" applyAlignment="1">
      <alignment horizontal="center" vertical="center"/>
    </xf>
    <xf numFmtId="0" fontId="10" fillId="19" borderId="8" xfId="0" applyFont="1" applyFill="1" applyBorder="1"/>
    <xf numFmtId="0" fontId="19" fillId="19" borderId="0" xfId="0" applyFont="1" applyFill="1"/>
    <xf numFmtId="0" fontId="76" fillId="19" borderId="0" xfId="0" applyFont="1" applyFill="1" applyAlignment="1">
      <alignment horizontal="left"/>
    </xf>
    <xf numFmtId="0" fontId="76" fillId="19" borderId="0" xfId="0" applyFont="1" applyFill="1"/>
    <xf numFmtId="0" fontId="76" fillId="19" borderId="0" xfId="0" applyFont="1" applyFill="1" applyAlignment="1">
      <alignment horizontal="center"/>
    </xf>
    <xf numFmtId="0" fontId="76" fillId="19" borderId="14" xfId="0" applyFont="1" applyFill="1" applyBorder="1"/>
    <xf numFmtId="0" fontId="76" fillId="11" borderId="8" xfId="0" applyFont="1" applyFill="1" applyBorder="1"/>
    <xf numFmtId="0" fontId="48" fillId="2" borderId="11" xfId="0" applyFont="1" applyFill="1" applyBorder="1" applyAlignment="1">
      <alignment horizontal="center"/>
    </xf>
    <xf numFmtId="0" fontId="33" fillId="9" borderId="38" xfId="0" applyFont="1" applyFill="1" applyBorder="1"/>
    <xf numFmtId="0" fontId="77" fillId="18" borderId="38" xfId="0" applyFont="1" applyFill="1" applyBorder="1" applyAlignment="1">
      <alignment horizontal="center" vertical="center"/>
    </xf>
    <xf numFmtId="0" fontId="19" fillId="11" borderId="0" xfId="0" applyFont="1" applyFill="1"/>
    <xf numFmtId="0" fontId="76" fillId="11" borderId="0" xfId="0" applyFont="1" applyFill="1" applyAlignment="1">
      <alignment horizontal="left"/>
    </xf>
    <xf numFmtId="0" fontId="76" fillId="11" borderId="0" xfId="0" applyFont="1" applyFill="1"/>
    <xf numFmtId="0" fontId="76" fillId="11" borderId="0" xfId="0" applyFont="1" applyFill="1" applyAlignment="1">
      <alignment horizontal="center"/>
    </xf>
    <xf numFmtId="0" fontId="76" fillId="11" borderId="14" xfId="0" applyFont="1" applyFill="1" applyBorder="1"/>
    <xf numFmtId="0" fontId="75" fillId="18" borderId="23" xfId="0" applyFont="1" applyFill="1" applyBorder="1" applyAlignment="1">
      <alignment horizontal="center" vertical="center"/>
    </xf>
    <xf numFmtId="179" fontId="29" fillId="2" borderId="11" xfId="0" applyNumberFormat="1" applyFont="1" applyFill="1" applyBorder="1" applyAlignment="1">
      <alignment horizontal="center"/>
    </xf>
    <xf numFmtId="178" fontId="75" fillId="18" borderId="23" xfId="0" applyNumberFormat="1" applyFont="1" applyFill="1" applyBorder="1" applyAlignment="1">
      <alignment horizontal="center" vertical="center"/>
    </xf>
    <xf numFmtId="0" fontId="35" fillId="0" borderId="47" xfId="0" applyFont="1" applyBorder="1" applyAlignment="1">
      <alignment horizontal="left"/>
    </xf>
    <xf numFmtId="0" fontId="35" fillId="0" borderId="48" xfId="0" applyFont="1" applyBorder="1" applyAlignment="1">
      <alignment horizontal="left"/>
    </xf>
    <xf numFmtId="0" fontId="39" fillId="0" borderId="48" xfId="0" applyFont="1" applyBorder="1" applyAlignment="1">
      <alignment horizontal="left" vertical="top"/>
    </xf>
    <xf numFmtId="0" fontId="35" fillId="0" borderId="48" xfId="0" applyFont="1" applyBorder="1"/>
    <xf numFmtId="181" fontId="29" fillId="2" borderId="11" xfId="0" applyNumberFormat="1" applyFont="1" applyFill="1" applyBorder="1" applyAlignment="1">
      <alignment horizontal="center"/>
    </xf>
    <xf numFmtId="0" fontId="78" fillId="18" borderId="49" xfId="0" applyFont="1" applyFill="1" applyBorder="1" applyAlignment="1">
      <alignment horizontal="center" vertical="center"/>
    </xf>
    <xf numFmtId="0" fontId="39" fillId="0" borderId="50" xfId="0" applyFont="1" applyBorder="1" applyAlignment="1">
      <alignment vertical="center" shrinkToFit="1"/>
    </xf>
    <xf numFmtId="0" fontId="79" fillId="0" borderId="22" xfId="0" applyFont="1" applyBorder="1" applyAlignment="1">
      <alignment horizontal="center"/>
    </xf>
    <xf numFmtId="178" fontId="80" fillId="0" borderId="22" xfId="0" applyNumberFormat="1" applyFont="1" applyBorder="1" applyAlignment="1">
      <alignment horizontal="center" vertical="center"/>
    </xf>
    <xf numFmtId="0" fontId="19" fillId="2" borderId="0" xfId="0" applyFont="1" applyFill="1"/>
    <xf numFmtId="178" fontId="80" fillId="0" borderId="38" xfId="0" applyNumberFormat="1" applyFont="1" applyBorder="1" applyAlignment="1">
      <alignment horizontal="center" vertical="center"/>
    </xf>
    <xf numFmtId="0" fontId="80" fillId="0" borderId="38" xfId="0" applyFont="1" applyBorder="1" applyAlignment="1">
      <alignment horizontal="center" vertical="center"/>
    </xf>
    <xf numFmtId="0" fontId="76" fillId="2" borderId="0" xfId="0" applyFont="1" applyFill="1"/>
    <xf numFmtId="0" fontId="19" fillId="2" borderId="38" xfId="0" applyFont="1" applyFill="1" applyBorder="1"/>
    <xf numFmtId="0" fontId="33" fillId="0" borderId="25" xfId="0" applyFont="1" applyBorder="1"/>
    <xf numFmtId="179" fontId="30" fillId="2" borderId="11" xfId="0" applyNumberFormat="1" applyFont="1" applyFill="1" applyBorder="1" applyAlignment="1">
      <alignment horizontal="left"/>
    </xf>
    <xf numFmtId="0" fontId="8" fillId="2" borderId="49" xfId="0" applyFont="1" applyFill="1" applyBorder="1" applyAlignment="1">
      <alignment horizontal="left" vertical="center"/>
    </xf>
    <xf numFmtId="0" fontId="76" fillId="2" borderId="0" xfId="0" applyFont="1" applyFill="1" applyAlignment="1">
      <alignment horizontal="left"/>
    </xf>
    <xf numFmtId="0" fontId="76" fillId="2" borderId="0" xfId="0" applyFont="1" applyFill="1" applyAlignment="1">
      <alignment horizontal="center"/>
    </xf>
    <xf numFmtId="0" fontId="46" fillId="2" borderId="7" xfId="0" applyFont="1" applyFill="1" applyBorder="1" applyAlignment="1">
      <alignment horizontal="center"/>
    </xf>
    <xf numFmtId="0" fontId="81" fillId="18" borderId="38" xfId="0" applyFont="1" applyFill="1" applyBorder="1" applyAlignment="1">
      <alignment horizontal="center" vertical="center"/>
    </xf>
    <xf numFmtId="0" fontId="46" fillId="2" borderId="11" xfId="0" applyFont="1" applyFill="1" applyBorder="1" applyAlignment="1">
      <alignment horizontal="left"/>
    </xf>
    <xf numFmtId="0" fontId="62" fillId="2" borderId="22" xfId="0" applyFont="1" applyFill="1" applyBorder="1" applyAlignment="1">
      <alignment horizontal="center"/>
    </xf>
    <xf numFmtId="0" fontId="46" fillId="2" borderId="38" xfId="0" applyFont="1" applyFill="1" applyBorder="1" applyAlignment="1">
      <alignment horizontal="left"/>
    </xf>
    <xf numFmtId="0" fontId="33" fillId="2" borderId="22" xfId="0" applyFont="1" applyFill="1" applyBorder="1"/>
    <xf numFmtId="0" fontId="32" fillId="2" borderId="22" xfId="0" applyFont="1" applyFill="1" applyBorder="1" applyAlignment="1">
      <alignment horizontal="center" vertical="center"/>
    </xf>
    <xf numFmtId="0" fontId="82" fillId="0" borderId="22" xfId="0" applyFont="1" applyBorder="1" applyAlignment="1">
      <alignment horizontal="center"/>
    </xf>
    <xf numFmtId="0" fontId="83" fillId="0" borderId="0" xfId="0" applyFont="1" applyAlignment="1">
      <alignment horizontal="center"/>
    </xf>
    <xf numFmtId="0" fontId="69" fillId="2" borderId="22" xfId="0" applyFont="1" applyFill="1" applyBorder="1" applyAlignment="1">
      <alignment horizontal="center"/>
    </xf>
    <xf numFmtId="0" fontId="33" fillId="2" borderId="25" xfId="0" applyFont="1" applyFill="1" applyBorder="1" applyAlignment="1">
      <alignment horizontal="left"/>
    </xf>
    <xf numFmtId="0" fontId="33" fillId="2" borderId="22" xfId="0" applyFont="1" applyFill="1" applyBorder="1" applyAlignment="1">
      <alignment horizontal="center"/>
    </xf>
    <xf numFmtId="0" fontId="33" fillId="2" borderId="25" xfId="0" applyFont="1" applyFill="1" applyBorder="1" applyAlignment="1">
      <alignment horizontal="right"/>
    </xf>
    <xf numFmtId="181" fontId="30" fillId="2" borderId="11" xfId="0" applyNumberFormat="1" applyFont="1" applyFill="1" applyBorder="1" applyAlignment="1">
      <alignment horizontal="center"/>
    </xf>
    <xf numFmtId="49" fontId="75" fillId="18" borderId="7" xfId="0" applyNumberFormat="1" applyFont="1" applyFill="1" applyBorder="1" applyAlignment="1">
      <alignment horizontal="center" vertical="center"/>
    </xf>
    <xf numFmtId="0" fontId="75" fillId="18" borderId="11" xfId="0" applyFont="1" applyFill="1" applyBorder="1" applyAlignment="1">
      <alignment vertical="center"/>
    </xf>
    <xf numFmtId="0" fontId="33" fillId="0" borderId="0" xfId="0" applyFont="1"/>
    <xf numFmtId="0" fontId="18" fillId="0" borderId="0" xfId="0" applyFont="1" applyAlignment="1">
      <alignment horizontal="left" vertical="center"/>
    </xf>
    <xf numFmtId="0" fontId="8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19" fillId="2" borderId="7" xfId="0" applyFont="1" applyFill="1" applyBorder="1"/>
    <xf numFmtId="0" fontId="33" fillId="2" borderId="11" xfId="0" applyFont="1" applyFill="1" applyBorder="1" applyAlignment="1">
      <alignment horizontal="center"/>
    </xf>
    <xf numFmtId="0" fontId="19" fillId="2" borderId="11" xfId="0" applyFont="1" applyFill="1" applyBorder="1"/>
    <xf numFmtId="0" fontId="85" fillId="2" borderId="0" xfId="0" applyFont="1" applyFill="1" applyAlignment="1">
      <alignment horizontal="center" vertical="center" wrapText="1"/>
    </xf>
    <xf numFmtId="178" fontId="80" fillId="0" borderId="11" xfId="0" applyNumberFormat="1" applyFont="1" applyBorder="1" applyAlignment="1">
      <alignment horizontal="center" vertical="center"/>
    </xf>
    <xf numFmtId="0" fontId="80" fillId="0" borderId="11" xfId="0" applyFont="1" applyBorder="1" applyAlignment="1">
      <alignment horizontal="center" vertical="center"/>
    </xf>
    <xf numFmtId="181" fontId="44" fillId="2" borderId="11" xfId="0" applyNumberFormat="1" applyFont="1" applyFill="1" applyBorder="1" applyAlignment="1">
      <alignment horizontal="center"/>
    </xf>
    <xf numFmtId="0" fontId="46" fillId="9" borderId="22" xfId="0" applyFont="1" applyFill="1" applyBorder="1" applyAlignment="1">
      <alignment horizontal="center"/>
    </xf>
    <xf numFmtId="0" fontId="8" fillId="2" borderId="54" xfId="0" applyFont="1" applyFill="1" applyBorder="1" applyAlignment="1">
      <alignment horizontal="left" vertical="center"/>
    </xf>
    <xf numFmtId="177" fontId="30" fillId="2" borderId="11" xfId="0" applyNumberFormat="1" applyFont="1" applyFill="1" applyBorder="1" applyAlignment="1">
      <alignment horizontal="center"/>
    </xf>
    <xf numFmtId="0" fontId="87" fillId="20" borderId="58" xfId="0" applyFont="1" applyFill="1" applyBorder="1" applyAlignment="1">
      <alignment horizontal="center" vertical="center" wrapText="1"/>
    </xf>
    <xf numFmtId="0" fontId="33" fillId="9" borderId="25" xfId="0" applyFont="1" applyFill="1" applyBorder="1"/>
    <xf numFmtId="0" fontId="33" fillId="9" borderId="25" xfId="0" applyFont="1" applyFill="1" applyBorder="1" applyAlignment="1">
      <alignment horizontal="right"/>
    </xf>
    <xf numFmtId="0" fontId="85" fillId="2" borderId="0" xfId="0" applyFont="1" applyFill="1" applyAlignment="1">
      <alignment horizontal="center" vertical="center"/>
    </xf>
    <xf numFmtId="0" fontId="85" fillId="21" borderId="62" xfId="0" applyFont="1" applyFill="1" applyBorder="1" applyAlignment="1">
      <alignment horizontal="center" vertical="center"/>
    </xf>
    <xf numFmtId="177" fontId="44" fillId="2" borderId="11" xfId="0" applyNumberFormat="1" applyFont="1" applyFill="1" applyBorder="1" applyAlignment="1">
      <alignment horizontal="center"/>
    </xf>
    <xf numFmtId="0" fontId="14" fillId="21" borderId="63" xfId="0" applyFont="1" applyFill="1" applyBorder="1" applyAlignment="1">
      <alignment horizontal="center" vertical="center"/>
    </xf>
    <xf numFmtId="177" fontId="29" fillId="2" borderId="11" xfId="0" applyNumberFormat="1" applyFont="1" applyFill="1" applyBorder="1" applyAlignment="1">
      <alignment horizontal="center"/>
    </xf>
    <xf numFmtId="0" fontId="88" fillId="0" borderId="11" xfId="0" applyFont="1" applyBorder="1" applyAlignment="1">
      <alignment horizontal="center" vertical="center"/>
    </xf>
    <xf numFmtId="0" fontId="89" fillId="0" borderId="0" xfId="0" applyFont="1" applyAlignment="1">
      <alignment horizontal="center" vertical="center"/>
    </xf>
    <xf numFmtId="49" fontId="75" fillId="18" borderId="58" xfId="0" applyNumberFormat="1" applyFont="1" applyFill="1" applyBorder="1" applyAlignment="1">
      <alignment horizontal="center" vertical="center"/>
    </xf>
    <xf numFmtId="0" fontId="90" fillId="22" borderId="64" xfId="0" applyFont="1" applyFill="1" applyBorder="1" applyAlignment="1">
      <alignment horizontal="center" vertical="center"/>
    </xf>
    <xf numFmtId="0" fontId="90" fillId="22" borderId="3" xfId="0" applyFont="1" applyFill="1" applyBorder="1" applyAlignment="1">
      <alignment horizontal="center" vertical="center"/>
    </xf>
    <xf numFmtId="49" fontId="75" fillId="18" borderId="67" xfId="0" applyNumberFormat="1" applyFont="1" applyFill="1" applyBorder="1" applyAlignment="1">
      <alignment vertical="center" wrapText="1"/>
    </xf>
    <xf numFmtId="0" fontId="75" fillId="18" borderId="58" xfId="0" applyFont="1" applyFill="1" applyBorder="1" applyAlignment="1">
      <alignment vertical="center"/>
    </xf>
    <xf numFmtId="178" fontId="75" fillId="18" borderId="58" xfId="0" applyNumberFormat="1" applyFont="1" applyFill="1" applyBorder="1" applyAlignment="1">
      <alignment horizontal="center" vertical="center"/>
    </xf>
    <xf numFmtId="0" fontId="90" fillId="2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center" vertical="center"/>
    </xf>
    <xf numFmtId="0" fontId="85" fillId="22" borderId="69" xfId="0" applyFont="1" applyFill="1" applyBorder="1" applyAlignment="1">
      <alignment horizontal="center" vertical="center"/>
    </xf>
    <xf numFmtId="0" fontId="14" fillId="22" borderId="38" xfId="0" applyFont="1" applyFill="1" applyBorder="1" applyAlignment="1">
      <alignment horizontal="center" vertical="center"/>
    </xf>
    <xf numFmtId="0" fontId="91" fillId="18" borderId="59" xfId="0" applyFont="1" applyFill="1" applyBorder="1" applyAlignment="1">
      <alignment horizontal="center" vertical="center"/>
    </xf>
    <xf numFmtId="0" fontId="92" fillId="21" borderId="72" xfId="0" applyFont="1" applyFill="1" applyBorder="1" applyAlignment="1">
      <alignment horizontal="center" vertical="center"/>
    </xf>
    <xf numFmtId="0" fontId="93" fillId="18" borderId="73" xfId="0" applyFont="1" applyFill="1" applyBorder="1" applyAlignment="1">
      <alignment horizontal="center" vertical="center"/>
    </xf>
    <xf numFmtId="0" fontId="94" fillId="21" borderId="11" xfId="0" applyFont="1" applyFill="1" applyBorder="1" applyAlignment="1">
      <alignment horizontal="center" vertical="center"/>
    </xf>
    <xf numFmtId="0" fontId="80" fillId="0" borderId="60" xfId="0" applyFont="1" applyBorder="1" applyAlignment="1">
      <alignment horizontal="center" vertical="center"/>
    </xf>
    <xf numFmtId="0" fontId="19" fillId="2" borderId="58" xfId="0" applyFont="1" applyFill="1" applyBorder="1"/>
    <xf numFmtId="178" fontId="80" fillId="0" borderId="58" xfId="0" applyNumberFormat="1" applyFont="1" applyBorder="1" applyAlignment="1">
      <alignment horizontal="center" vertical="center"/>
    </xf>
    <xf numFmtId="0" fontId="95" fillId="0" borderId="0" xfId="0" applyFont="1" applyAlignment="1">
      <alignment horizontal="left" vertical="center"/>
    </xf>
    <xf numFmtId="0" fontId="8" fillId="2" borderId="75" xfId="0" applyFont="1" applyFill="1" applyBorder="1" applyAlignment="1">
      <alignment horizontal="left" vertical="center"/>
    </xf>
    <xf numFmtId="0" fontId="96" fillId="2" borderId="0" xfId="0" applyFont="1" applyFill="1"/>
    <xf numFmtId="0" fontId="92" fillId="23" borderId="72" xfId="0" applyFont="1" applyFill="1" applyBorder="1" applyAlignment="1">
      <alignment horizontal="center" vertical="center"/>
    </xf>
    <xf numFmtId="0" fontId="94" fillId="2" borderId="11" xfId="0" applyFont="1" applyFill="1" applyBorder="1" applyAlignment="1">
      <alignment horizontal="center" vertical="center"/>
    </xf>
    <xf numFmtId="0" fontId="14" fillId="24" borderId="38" xfId="0" applyFont="1" applyFill="1" applyBorder="1" applyAlignment="1">
      <alignment horizontal="center" vertical="center"/>
    </xf>
    <xf numFmtId="0" fontId="97" fillId="0" borderId="0" xfId="0" applyFont="1" applyAlignment="1">
      <alignment horizontal="left" vertical="center"/>
    </xf>
    <xf numFmtId="182" fontId="29" fillId="2" borderId="11" xfId="0" applyNumberFormat="1" applyFont="1" applyFill="1" applyBorder="1" applyAlignment="1">
      <alignment horizontal="center"/>
    </xf>
    <xf numFmtId="0" fontId="98" fillId="2" borderId="0" xfId="0" applyFont="1" applyFill="1" applyAlignment="1">
      <alignment horizontal="center"/>
    </xf>
    <xf numFmtId="0" fontId="96" fillId="2" borderId="0" xfId="0" applyFont="1" applyFill="1" applyAlignment="1">
      <alignment horizontal="center"/>
    </xf>
    <xf numFmtId="0" fontId="92" fillId="23" borderId="64" xfId="0" applyFont="1" applyFill="1" applyBorder="1" applyAlignment="1">
      <alignment horizontal="center" vertical="center"/>
    </xf>
    <xf numFmtId="0" fontId="94" fillId="24" borderId="3" xfId="0" applyFont="1" applyFill="1" applyBorder="1" applyAlignment="1">
      <alignment horizontal="center" vertical="center"/>
    </xf>
    <xf numFmtId="0" fontId="30" fillId="2" borderId="0" xfId="0" applyFont="1" applyFill="1" applyAlignment="1">
      <alignment horizontal="center"/>
    </xf>
    <xf numFmtId="0" fontId="30" fillId="2" borderId="0" xfId="0" applyFont="1" applyFill="1" applyAlignment="1">
      <alignment horizontal="left"/>
    </xf>
    <xf numFmtId="0" fontId="29" fillId="2" borderId="0" xfId="0" applyFont="1" applyFill="1" applyAlignment="1">
      <alignment horizontal="center"/>
    </xf>
    <xf numFmtId="0" fontId="94" fillId="24" borderId="11" xfId="0" applyFont="1" applyFill="1" applyBorder="1" applyAlignment="1">
      <alignment horizontal="center" vertical="center"/>
    </xf>
    <xf numFmtId="177" fontId="30" fillId="2" borderId="0" xfId="0" applyNumberFormat="1" applyFont="1" applyFill="1" applyAlignment="1">
      <alignment horizontal="center"/>
    </xf>
    <xf numFmtId="177" fontId="29" fillId="2" borderId="0" xfId="0" applyNumberFormat="1" applyFont="1" applyFill="1" applyAlignment="1">
      <alignment horizontal="center"/>
    </xf>
    <xf numFmtId="182" fontId="29" fillId="2" borderId="0" xfId="0" applyNumberFormat="1" applyFont="1" applyFill="1" applyAlignment="1">
      <alignment horizontal="center"/>
    </xf>
    <xf numFmtId="179" fontId="29" fillId="2" borderId="0" xfId="0" applyNumberFormat="1" applyFont="1" applyFill="1" applyAlignment="1">
      <alignment horizontal="center"/>
    </xf>
    <xf numFmtId="181" fontId="30" fillId="2" borderId="0" xfId="0" applyNumberFormat="1" applyFont="1" applyFill="1" applyAlignment="1">
      <alignment horizontal="center"/>
    </xf>
    <xf numFmtId="0" fontId="92" fillId="23" borderId="78" xfId="0" applyFont="1" applyFill="1" applyBorder="1" applyAlignment="1">
      <alignment horizontal="center" vertical="center"/>
    </xf>
    <xf numFmtId="178" fontId="75" fillId="18" borderId="79" xfId="0" applyNumberFormat="1" applyFont="1" applyFill="1" applyBorder="1" applyAlignment="1">
      <alignment horizontal="center" vertical="center"/>
    </xf>
    <xf numFmtId="178" fontId="75" fillId="18" borderId="70" xfId="0" applyNumberFormat="1" applyFont="1" applyFill="1" applyBorder="1" applyAlignment="1">
      <alignment horizontal="center" vertical="center"/>
    </xf>
    <xf numFmtId="0" fontId="94" fillId="24" borderId="58" xfId="0" applyFont="1" applyFill="1" applyBorder="1" applyAlignment="1">
      <alignment horizontal="center" vertical="center"/>
    </xf>
    <xf numFmtId="0" fontId="98" fillId="21" borderId="0" xfId="0" applyFont="1" applyFill="1"/>
    <xf numFmtId="0" fontId="98" fillId="0" borderId="0" xfId="0" applyFont="1"/>
    <xf numFmtId="0" fontId="99" fillId="25" borderId="11" xfId="0" applyFont="1" applyFill="1" applyBorder="1" applyAlignment="1">
      <alignment horizontal="center"/>
    </xf>
    <xf numFmtId="0" fontId="100" fillId="25" borderId="11" xfId="0" applyFont="1" applyFill="1" applyBorder="1" applyAlignment="1">
      <alignment horizontal="center"/>
    </xf>
    <xf numFmtId="0" fontId="101" fillId="18" borderId="4" xfId="0" applyFont="1" applyFill="1" applyBorder="1" applyAlignment="1">
      <alignment horizontal="center" vertical="center"/>
    </xf>
    <xf numFmtId="0" fontId="102" fillId="26" borderId="3" xfId="0" applyFont="1" applyFill="1" applyBorder="1" applyAlignment="1">
      <alignment horizontal="center"/>
    </xf>
    <xf numFmtId="0" fontId="103" fillId="25" borderId="11" xfId="0" applyFont="1" applyFill="1" applyBorder="1" applyAlignment="1">
      <alignment horizontal="center" vertical="center"/>
    </xf>
    <xf numFmtId="49" fontId="98" fillId="0" borderId="11" xfId="0" applyNumberFormat="1" applyFont="1" applyBorder="1" applyAlignment="1">
      <alignment horizontal="center"/>
    </xf>
    <xf numFmtId="49" fontId="98" fillId="0" borderId="4" xfId="0" applyNumberFormat="1" applyFont="1" applyBorder="1" applyAlignment="1">
      <alignment horizontal="center"/>
    </xf>
    <xf numFmtId="49" fontId="104" fillId="0" borderId="62" xfId="0" applyNumberFormat="1" applyFont="1" applyBorder="1" applyAlignment="1">
      <alignment horizontal="center"/>
    </xf>
    <xf numFmtId="49" fontId="104" fillId="0" borderId="63" xfId="0" applyNumberFormat="1" applyFont="1" applyBorder="1" applyAlignment="1">
      <alignment horizontal="center"/>
    </xf>
    <xf numFmtId="49" fontId="104" fillId="0" borderId="81" xfId="0" applyNumberFormat="1" applyFont="1" applyBorder="1" applyAlignment="1">
      <alignment horizontal="center"/>
    </xf>
    <xf numFmtId="0" fontId="105" fillId="0" borderId="0" xfId="0" applyFont="1"/>
    <xf numFmtId="0" fontId="103" fillId="25" borderId="3" xfId="0" applyFont="1" applyFill="1" applyBorder="1" applyAlignment="1">
      <alignment horizontal="center" vertical="center"/>
    </xf>
    <xf numFmtId="49" fontId="98" fillId="0" borderId="3" xfId="0" applyNumberFormat="1" applyFont="1" applyBorder="1" applyAlignment="1">
      <alignment horizontal="center"/>
    </xf>
    <xf numFmtId="49" fontId="98" fillId="0" borderId="65" xfId="0" applyNumberFormat="1" applyFont="1" applyBorder="1" applyAlignment="1">
      <alignment horizontal="center"/>
    </xf>
    <xf numFmtId="49" fontId="104" fillId="0" borderId="72" xfId="0" applyNumberFormat="1" applyFont="1" applyBorder="1" applyAlignment="1">
      <alignment horizontal="center"/>
    </xf>
    <xf numFmtId="49" fontId="104" fillId="0" borderId="11" xfId="0" applyNumberFormat="1" applyFont="1" applyBorder="1" applyAlignment="1">
      <alignment horizontal="center"/>
    </xf>
    <xf numFmtId="49" fontId="104" fillId="0" borderId="82" xfId="0" applyNumberFormat="1" applyFont="1" applyBorder="1" applyAlignment="1">
      <alignment horizontal="center"/>
    </xf>
    <xf numFmtId="0" fontId="84" fillId="0" borderId="0" xfId="0" applyFont="1"/>
    <xf numFmtId="0" fontId="92" fillId="23" borderId="11" xfId="0" applyFont="1" applyFill="1" applyBorder="1" applyAlignment="1">
      <alignment horizontal="center" vertical="center"/>
    </xf>
    <xf numFmtId="0" fontId="106" fillId="24" borderId="11" xfId="0" applyFont="1" applyFill="1" applyBorder="1" applyAlignment="1">
      <alignment horizontal="center"/>
    </xf>
    <xf numFmtId="0" fontId="106" fillId="24" borderId="4" xfId="0" applyFont="1" applyFill="1" applyBorder="1" applyAlignment="1">
      <alignment horizontal="center"/>
    </xf>
    <xf numFmtId="0" fontId="107" fillId="24" borderId="78" xfId="0" applyFont="1" applyFill="1" applyBorder="1" applyAlignment="1">
      <alignment horizontal="center"/>
    </xf>
    <xf numFmtId="0" fontId="107" fillId="24" borderId="58" xfId="0" applyFont="1" applyFill="1" applyBorder="1" applyAlignment="1">
      <alignment horizontal="center"/>
    </xf>
    <xf numFmtId="0" fontId="107" fillId="24" borderId="83" xfId="0" applyFont="1" applyFill="1" applyBorder="1" applyAlignment="1">
      <alignment horizontal="center"/>
    </xf>
    <xf numFmtId="0" fontId="108" fillId="0" borderId="0" xfId="0" applyFont="1" applyAlignment="1">
      <alignment horizontal="left" vertical="center"/>
    </xf>
    <xf numFmtId="0" fontId="103" fillId="25" borderId="38" xfId="0" applyFont="1" applyFill="1" applyBorder="1" applyAlignment="1">
      <alignment horizontal="center" vertical="center"/>
    </xf>
    <xf numFmtId="49" fontId="98" fillId="0" borderId="38" xfId="0" applyNumberFormat="1" applyFont="1" applyBorder="1" applyAlignment="1">
      <alignment horizontal="center"/>
    </xf>
    <xf numFmtId="0" fontId="21" fillId="0" borderId="0" xfId="0" applyFont="1" applyAlignment="1">
      <alignment horizontal="left"/>
    </xf>
    <xf numFmtId="0" fontId="106" fillId="0" borderId="11" xfId="0" applyFont="1" applyBorder="1" applyAlignment="1">
      <alignment horizontal="center"/>
    </xf>
    <xf numFmtId="0" fontId="21" fillId="0" borderId="0" xfId="0" applyFont="1" applyAlignment="1">
      <alignment horizontal="left" vertical="center"/>
    </xf>
    <xf numFmtId="183" fontId="106" fillId="24" borderId="11" xfId="0" applyNumberFormat="1" applyFont="1" applyFill="1" applyBorder="1" applyAlignment="1">
      <alignment horizontal="center"/>
    </xf>
    <xf numFmtId="0" fontId="109" fillId="0" borderId="0" xfId="0" applyFont="1" applyAlignment="1">
      <alignment horizontal="left" vertical="center"/>
    </xf>
    <xf numFmtId="0" fontId="110" fillId="24" borderId="11" xfId="0" applyFont="1" applyFill="1" applyBorder="1" applyAlignment="1">
      <alignment horizontal="center"/>
    </xf>
    <xf numFmtId="183" fontId="110" fillId="24" borderId="11" xfId="0" applyNumberFormat="1" applyFont="1" applyFill="1" applyBorder="1" applyAlignment="1">
      <alignment horizontal="center"/>
    </xf>
    <xf numFmtId="49" fontId="75" fillId="18" borderId="11" xfId="0" applyNumberFormat="1" applyFont="1" applyFill="1" applyBorder="1" applyAlignment="1">
      <alignment vertical="center" wrapText="1"/>
    </xf>
    <xf numFmtId="0" fontId="14" fillId="0" borderId="0" xfId="0" applyFont="1" applyAlignment="1">
      <alignment horizontal="center" wrapText="1"/>
    </xf>
    <xf numFmtId="0" fontId="111" fillId="18" borderId="11" xfId="0" applyFont="1" applyFill="1" applyBorder="1" applyAlignment="1">
      <alignment horizontal="center" vertical="center"/>
    </xf>
    <xf numFmtId="0" fontId="75" fillId="18" borderId="19" xfId="0" applyFont="1" applyFill="1" applyBorder="1" applyAlignment="1">
      <alignment horizontal="center" vertical="center"/>
    </xf>
    <xf numFmtId="182" fontId="30" fillId="2" borderId="0" xfId="0" applyNumberFormat="1" applyFont="1" applyFill="1" applyAlignment="1">
      <alignment horizontal="center"/>
    </xf>
    <xf numFmtId="49" fontId="112" fillId="18" borderId="58" xfId="0" applyNumberFormat="1" applyFont="1" applyFill="1" applyBorder="1" applyAlignment="1">
      <alignment horizontal="center" vertical="center"/>
    </xf>
    <xf numFmtId="49" fontId="112" fillId="18" borderId="67" xfId="0" applyNumberFormat="1" applyFont="1" applyFill="1" applyBorder="1" applyAlignment="1">
      <alignment vertical="center" wrapText="1"/>
    </xf>
    <xf numFmtId="0" fontId="112" fillId="18" borderId="58" xfId="0" applyFont="1" applyFill="1" applyBorder="1" applyAlignment="1">
      <alignment vertical="center"/>
    </xf>
    <xf numFmtId="178" fontId="112" fillId="18" borderId="58" xfId="0" applyNumberFormat="1" applyFont="1" applyFill="1" applyBorder="1" applyAlignment="1">
      <alignment horizontal="center" vertical="center"/>
    </xf>
    <xf numFmtId="0" fontId="112" fillId="18" borderId="23" xfId="0" applyFont="1" applyFill="1" applyBorder="1" applyAlignment="1">
      <alignment horizontal="center" vertical="center"/>
    </xf>
    <xf numFmtId="178" fontId="112" fillId="18" borderId="23" xfId="0" applyNumberFormat="1" applyFont="1" applyFill="1" applyBorder="1" applyAlignment="1">
      <alignment horizontal="center" vertical="center"/>
    </xf>
    <xf numFmtId="49" fontId="75" fillId="18" borderId="53" xfId="0" applyNumberFormat="1" applyFont="1" applyFill="1" applyBorder="1" applyAlignment="1">
      <alignment horizontal="center" vertical="center"/>
    </xf>
    <xf numFmtId="49" fontId="75" fillId="18" borderId="53" xfId="0" applyNumberFormat="1" applyFont="1" applyFill="1" applyBorder="1" applyAlignment="1">
      <alignment vertical="center" wrapText="1"/>
    </xf>
    <xf numFmtId="0" fontId="75" fillId="18" borderId="53" xfId="0" applyFont="1" applyFill="1" applyBorder="1" applyAlignment="1">
      <alignment vertical="center"/>
    </xf>
    <xf numFmtId="179" fontId="30" fillId="2" borderId="0" xfId="0" applyNumberFormat="1" applyFont="1" applyFill="1" applyAlignment="1">
      <alignment horizontal="center"/>
    </xf>
    <xf numFmtId="178" fontId="75" fillId="18" borderId="55" xfId="0" applyNumberFormat="1" applyFont="1" applyFill="1" applyBorder="1" applyAlignment="1">
      <alignment horizontal="center" vertical="center"/>
    </xf>
    <xf numFmtId="178" fontId="75" fillId="18" borderId="52" xfId="0" applyNumberFormat="1" applyFont="1" applyFill="1" applyBorder="1" applyAlignment="1">
      <alignment horizontal="center" vertical="center"/>
    </xf>
    <xf numFmtId="0" fontId="113" fillId="18" borderId="63" xfId="0" applyFont="1" applyFill="1" applyBorder="1" applyAlignment="1">
      <alignment horizontal="center" vertical="center"/>
    </xf>
    <xf numFmtId="0" fontId="114" fillId="18" borderId="84" xfId="0" applyFont="1" applyFill="1" applyBorder="1" applyAlignment="1">
      <alignment horizontal="center" vertical="center"/>
    </xf>
    <xf numFmtId="178" fontId="80" fillId="0" borderId="53" xfId="0" applyNumberFormat="1" applyFont="1" applyBorder="1" applyAlignment="1">
      <alignment horizontal="center" vertical="center"/>
    </xf>
    <xf numFmtId="178" fontId="80" fillId="0" borderId="63" xfId="0" applyNumberFormat="1" applyFont="1" applyBorder="1" applyAlignment="1">
      <alignment horizontal="center" vertical="center"/>
    </xf>
    <xf numFmtId="0" fontId="80" fillId="0" borderId="63" xfId="0" applyFont="1" applyBorder="1" applyAlignment="1">
      <alignment horizontal="center" vertical="center"/>
    </xf>
    <xf numFmtId="0" fontId="19" fillId="2" borderId="63" xfId="0" applyFont="1" applyFill="1" applyBorder="1"/>
    <xf numFmtId="0" fontId="115" fillId="18" borderId="49" xfId="0" applyFont="1" applyFill="1" applyBorder="1" applyAlignment="1">
      <alignment horizontal="center" vertical="center"/>
    </xf>
    <xf numFmtId="49" fontId="75" fillId="18" borderId="3" xfId="0" applyNumberFormat="1" applyFont="1" applyFill="1" applyBorder="1" applyAlignment="1">
      <alignment horizontal="center" vertical="center"/>
    </xf>
    <xf numFmtId="49" fontId="75" fillId="18" borderId="25" xfId="0" applyNumberFormat="1" applyFont="1" applyFill="1" applyBorder="1" applyAlignment="1">
      <alignment vertical="center" wrapText="1"/>
    </xf>
    <xf numFmtId="0" fontId="75" fillId="18" borderId="3" xfId="0" applyFont="1" applyFill="1" applyBorder="1" applyAlignment="1">
      <alignment vertical="center"/>
    </xf>
    <xf numFmtId="178" fontId="75" fillId="18" borderId="3" xfId="0" applyNumberFormat="1" applyFont="1" applyFill="1" applyBorder="1" applyAlignment="1">
      <alignment horizontal="center" vertical="center"/>
    </xf>
    <xf numFmtId="0" fontId="116" fillId="18" borderId="65" xfId="0" applyFont="1" applyFill="1" applyBorder="1" applyAlignment="1">
      <alignment horizontal="center" vertical="center"/>
    </xf>
    <xf numFmtId="0" fontId="75" fillId="18" borderId="34" xfId="0" applyFont="1" applyFill="1" applyBorder="1" applyAlignment="1">
      <alignment horizontal="center" vertical="center"/>
    </xf>
    <xf numFmtId="178" fontId="75" fillId="18" borderId="34" xfId="0" applyNumberFormat="1" applyFont="1" applyFill="1" applyBorder="1" applyAlignment="1">
      <alignment horizontal="center" vertical="center"/>
    </xf>
    <xf numFmtId="0" fontId="117" fillId="18" borderId="37" xfId="0" applyFont="1" applyFill="1" applyBorder="1" applyAlignment="1">
      <alignment horizontal="center" vertical="center"/>
    </xf>
    <xf numFmtId="0" fontId="80" fillId="0" borderId="66" xfId="0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29" fillId="0" borderId="0" xfId="0" applyFont="1" applyAlignment="1">
      <alignment horizontal="center"/>
    </xf>
    <xf numFmtId="0" fontId="19" fillId="2" borderId="3" xfId="0" applyFont="1" applyFill="1" applyBorder="1"/>
    <xf numFmtId="178" fontId="80" fillId="0" borderId="3" xfId="0" applyNumberFormat="1" applyFont="1" applyBorder="1" applyAlignment="1">
      <alignment horizontal="center" vertical="center"/>
    </xf>
    <xf numFmtId="0" fontId="8" fillId="2" borderId="85" xfId="0" applyFont="1" applyFill="1" applyBorder="1" applyAlignment="1">
      <alignment horizontal="left" vertical="center"/>
    </xf>
    <xf numFmtId="177" fontId="30" fillId="0" borderId="0" xfId="0" applyNumberFormat="1" applyFont="1" applyAlignment="1">
      <alignment horizontal="center"/>
    </xf>
    <xf numFmtId="177" fontId="30" fillId="16" borderId="11" xfId="0" applyNumberFormat="1" applyFont="1" applyFill="1" applyBorder="1" applyAlignment="1">
      <alignment horizontal="left"/>
    </xf>
    <xf numFmtId="177" fontId="31" fillId="16" borderId="11" xfId="0" applyNumberFormat="1" applyFont="1" applyFill="1" applyBorder="1" applyAlignment="1">
      <alignment horizontal="left"/>
    </xf>
    <xf numFmtId="177" fontId="29" fillId="0" borderId="0" xfId="0" applyNumberFormat="1" applyFont="1" applyAlignment="1">
      <alignment horizontal="center"/>
    </xf>
    <xf numFmtId="179" fontId="29" fillId="0" borderId="0" xfId="0" applyNumberFormat="1" applyFont="1" applyAlignment="1">
      <alignment horizontal="center"/>
    </xf>
    <xf numFmtId="0" fontId="80" fillId="0" borderId="0" xfId="0" applyFont="1" applyAlignment="1">
      <alignment horizontal="center" vertical="center"/>
    </xf>
    <xf numFmtId="0" fontId="8" fillId="2" borderId="11" xfId="0" applyFont="1" applyFill="1" applyBorder="1" applyAlignment="1">
      <alignment horizontal="left" vertical="center"/>
    </xf>
    <xf numFmtId="179" fontId="30" fillId="0" borderId="0" xfId="0" applyNumberFormat="1" applyFont="1" applyAlignment="1">
      <alignment horizontal="center"/>
    </xf>
    <xf numFmtId="178" fontId="112" fillId="18" borderId="79" xfId="0" applyNumberFormat="1" applyFont="1" applyFill="1" applyBorder="1" applyAlignment="1">
      <alignment horizontal="center" vertical="center"/>
    </xf>
    <xf numFmtId="178" fontId="112" fillId="18" borderId="11" xfId="0" applyNumberFormat="1" applyFont="1" applyFill="1" applyBorder="1" applyAlignment="1">
      <alignment horizontal="center" vertical="center"/>
    </xf>
    <xf numFmtId="0" fontId="118" fillId="18" borderId="59" xfId="0" applyFont="1" applyFill="1" applyBorder="1" applyAlignment="1">
      <alignment horizontal="center" vertical="center"/>
    </xf>
    <xf numFmtId="49" fontId="112" fillId="18" borderId="22" xfId="0" applyNumberFormat="1" applyFont="1" applyFill="1" applyBorder="1" applyAlignment="1">
      <alignment horizontal="center" vertical="center"/>
    </xf>
    <xf numFmtId="49" fontId="112" fillId="18" borderId="22" xfId="0" applyNumberFormat="1" applyFont="1" applyFill="1" applyBorder="1" applyAlignment="1">
      <alignment vertical="center" wrapText="1"/>
    </xf>
    <xf numFmtId="0" fontId="112" fillId="18" borderId="22" xfId="0" applyFont="1" applyFill="1" applyBorder="1" applyAlignment="1">
      <alignment vertical="center"/>
    </xf>
    <xf numFmtId="178" fontId="112" fillId="18" borderId="38" xfId="0" applyNumberFormat="1" applyFont="1" applyFill="1" applyBorder="1" applyAlignment="1">
      <alignment horizontal="center" vertical="center"/>
    </xf>
    <xf numFmtId="0" fontId="80" fillId="0" borderId="9" xfId="0" applyFont="1" applyBorder="1" applyAlignment="1">
      <alignment horizontal="center" vertical="center"/>
    </xf>
    <xf numFmtId="0" fontId="81" fillId="18" borderId="4" xfId="0" applyFont="1" applyFill="1" applyBorder="1" applyAlignment="1">
      <alignment horizontal="center" vertical="center"/>
    </xf>
    <xf numFmtId="0" fontId="19" fillId="2" borderId="4" xfId="0" applyFont="1" applyFill="1" applyBorder="1"/>
    <xf numFmtId="0" fontId="81" fillId="18" borderId="59" xfId="0" applyFont="1" applyFill="1" applyBorder="1" applyAlignment="1">
      <alignment horizontal="center" vertical="center"/>
    </xf>
    <xf numFmtId="0" fontId="19" fillId="2" borderId="86" xfId="0" applyFont="1" applyFill="1" applyBorder="1"/>
    <xf numFmtId="178" fontId="75" fillId="18" borderId="38" xfId="0" applyNumberFormat="1" applyFont="1" applyFill="1" applyBorder="1" applyAlignment="1">
      <alignment horizontal="center" vertical="center"/>
    </xf>
    <xf numFmtId="49" fontId="75" fillId="18" borderId="60" xfId="0" applyNumberFormat="1" applyFont="1" applyFill="1" applyBorder="1" applyAlignment="1">
      <alignment horizontal="center" vertical="center"/>
    </xf>
    <xf numFmtId="0" fontId="88" fillId="0" borderId="38" xfId="0" applyFont="1" applyBorder="1" applyAlignment="1">
      <alignment horizontal="center" vertical="center"/>
    </xf>
    <xf numFmtId="0" fontId="80" fillId="0" borderId="22" xfId="0" applyFont="1" applyBorder="1" applyAlignment="1">
      <alignment horizontal="center" vertical="center"/>
    </xf>
    <xf numFmtId="178" fontId="112" fillId="18" borderId="70" xfId="0" applyNumberFormat="1" applyFont="1" applyFill="1" applyBorder="1" applyAlignment="1">
      <alignment horizontal="center" vertical="center"/>
    </xf>
    <xf numFmtId="0" fontId="119" fillId="18" borderId="38" xfId="0" applyFont="1" applyFill="1" applyBorder="1" applyAlignment="1">
      <alignment horizontal="center" vertical="center"/>
    </xf>
    <xf numFmtId="0" fontId="120" fillId="18" borderId="49" xfId="0" applyFont="1" applyFill="1" applyBorder="1" applyAlignment="1">
      <alignment horizontal="center" vertical="center"/>
    </xf>
    <xf numFmtId="0" fontId="121" fillId="18" borderId="23" xfId="0" applyFont="1" applyFill="1" applyBorder="1" applyAlignment="1">
      <alignment horizontal="center" vertical="center"/>
    </xf>
    <xf numFmtId="178" fontId="80" fillId="0" borderId="60" xfId="0" applyNumberFormat="1" applyFont="1" applyBorder="1" applyAlignment="1">
      <alignment horizontal="center" vertical="center"/>
    </xf>
    <xf numFmtId="0" fontId="122" fillId="18" borderId="73" xfId="0" applyFont="1" applyFill="1" applyBorder="1" applyAlignment="1">
      <alignment horizontal="center" vertical="center"/>
    </xf>
    <xf numFmtId="49" fontId="123" fillId="2" borderId="22" xfId="0" applyNumberFormat="1" applyFont="1" applyFill="1" applyBorder="1" applyAlignment="1">
      <alignment horizontal="center" vertical="center"/>
    </xf>
    <xf numFmtId="49" fontId="124" fillId="2" borderId="22" xfId="0" applyNumberFormat="1" applyFont="1" applyFill="1" applyBorder="1" applyAlignment="1">
      <alignment vertical="center" wrapText="1"/>
    </xf>
    <xf numFmtId="0" fontId="125" fillId="2" borderId="22" xfId="0" applyFont="1" applyFill="1" applyBorder="1" applyAlignment="1">
      <alignment vertical="center"/>
    </xf>
    <xf numFmtId="178" fontId="53" fillId="11" borderId="79" xfId="0" applyNumberFormat="1" applyFont="1" applyFill="1" applyBorder="1" applyAlignment="1">
      <alignment horizontal="center" vertical="center"/>
    </xf>
    <xf numFmtId="178" fontId="53" fillId="11" borderId="70" xfId="0" applyNumberFormat="1" applyFont="1" applyFill="1" applyBorder="1" applyAlignment="1">
      <alignment horizontal="center" vertical="center"/>
    </xf>
    <xf numFmtId="0" fontId="126" fillId="7" borderId="38" xfId="0" applyFont="1" applyFill="1" applyBorder="1" applyAlignment="1">
      <alignment horizontal="center" vertical="center"/>
    </xf>
    <xf numFmtId="0" fontId="124" fillId="17" borderId="23" xfId="0" applyFont="1" applyFill="1" applyBorder="1" applyAlignment="1">
      <alignment horizontal="center" vertical="center"/>
    </xf>
    <xf numFmtId="0" fontId="124" fillId="16" borderId="23" xfId="0" applyFont="1" applyFill="1" applyBorder="1" applyAlignment="1">
      <alignment horizontal="center" vertical="center"/>
    </xf>
    <xf numFmtId="178" fontId="80" fillId="2" borderId="23" xfId="0" applyNumberFormat="1" applyFont="1" applyFill="1" applyBorder="1" applyAlignment="1">
      <alignment horizontal="center" vertical="center"/>
    </xf>
    <xf numFmtId="178" fontId="53" fillId="2" borderId="23" xfId="0" applyNumberFormat="1" applyFont="1" applyFill="1" applyBorder="1" applyAlignment="1">
      <alignment horizontal="center" vertical="center"/>
    </xf>
    <xf numFmtId="0" fontId="122" fillId="2" borderId="49" xfId="0" applyFont="1" applyFill="1" applyBorder="1" applyAlignment="1">
      <alignment horizontal="center" vertical="center"/>
    </xf>
    <xf numFmtId="0" fontId="127" fillId="18" borderId="49" xfId="0" applyFont="1" applyFill="1" applyBorder="1" applyAlignment="1">
      <alignment horizontal="center" vertical="center"/>
    </xf>
    <xf numFmtId="49" fontId="112" fillId="18" borderId="7" xfId="0" applyNumberFormat="1" applyFont="1" applyFill="1" applyBorder="1" applyAlignment="1">
      <alignment horizontal="center" vertical="center"/>
    </xf>
    <xf numFmtId="0" fontId="112" fillId="18" borderId="11" xfId="0" applyFont="1" applyFill="1" applyBorder="1" applyAlignment="1">
      <alignment vertical="center"/>
    </xf>
    <xf numFmtId="0" fontId="112" fillId="18" borderId="19" xfId="0" applyFont="1" applyFill="1" applyBorder="1" applyAlignment="1">
      <alignment horizontal="center" vertical="center"/>
    </xf>
    <xf numFmtId="0" fontId="112" fillId="27" borderId="23" xfId="0" applyFont="1" applyFill="1" applyBorder="1" applyAlignment="1">
      <alignment horizontal="center" vertical="center"/>
    </xf>
    <xf numFmtId="178" fontId="112" fillId="27" borderId="23" xfId="0" applyNumberFormat="1" applyFont="1" applyFill="1" applyBorder="1" applyAlignment="1">
      <alignment horizontal="center" vertical="center"/>
    </xf>
    <xf numFmtId="0" fontId="128" fillId="27" borderId="49" xfId="0" applyFont="1" applyFill="1" applyBorder="1" applyAlignment="1">
      <alignment horizontal="center" vertical="center"/>
    </xf>
    <xf numFmtId="0" fontId="127" fillId="27" borderId="49" xfId="0" applyFont="1" applyFill="1" applyBorder="1" applyAlignment="1">
      <alignment horizontal="center" vertical="center"/>
    </xf>
    <xf numFmtId="0" fontId="129" fillId="18" borderId="38" xfId="0" applyFont="1" applyFill="1" applyBorder="1" applyAlignment="1">
      <alignment horizontal="center" vertical="center"/>
    </xf>
    <xf numFmtId="0" fontId="130" fillId="27" borderId="73" xfId="0" applyFont="1" applyFill="1" applyBorder="1" applyAlignment="1">
      <alignment horizontal="center" vertical="center"/>
    </xf>
    <xf numFmtId="0" fontId="75" fillId="27" borderId="23" xfId="0" applyFont="1" applyFill="1" applyBorder="1" applyAlignment="1">
      <alignment horizontal="center" vertical="center"/>
    </xf>
    <xf numFmtId="178" fontId="75" fillId="27" borderId="23" xfId="0" applyNumberFormat="1" applyFont="1" applyFill="1" applyBorder="1" applyAlignment="1">
      <alignment horizontal="center" vertical="center"/>
    </xf>
    <xf numFmtId="0" fontId="131" fillId="27" borderId="49" xfId="0" applyFont="1" applyFill="1" applyBorder="1" applyAlignment="1">
      <alignment horizontal="center" vertical="center"/>
    </xf>
    <xf numFmtId="49" fontId="123" fillId="18" borderId="22" xfId="0" applyNumberFormat="1" applyFont="1" applyFill="1" applyBorder="1" applyAlignment="1">
      <alignment horizontal="center" vertical="center"/>
    </xf>
    <xf numFmtId="49" fontId="124" fillId="18" borderId="22" xfId="0" applyNumberFormat="1" applyFont="1" applyFill="1" applyBorder="1" applyAlignment="1">
      <alignment vertical="center" wrapText="1"/>
    </xf>
    <xf numFmtId="0" fontId="125" fillId="18" borderId="22" xfId="0" applyFont="1" applyFill="1" applyBorder="1" applyAlignment="1">
      <alignment vertical="center"/>
    </xf>
    <xf numFmtId="178" fontId="53" fillId="18" borderId="79" xfId="0" applyNumberFormat="1" applyFont="1" applyFill="1" applyBorder="1" applyAlignment="1">
      <alignment horizontal="center" vertical="center"/>
    </xf>
    <xf numFmtId="178" fontId="53" fillId="18" borderId="70" xfId="0" applyNumberFormat="1" applyFont="1" applyFill="1" applyBorder="1" applyAlignment="1">
      <alignment horizontal="center" vertical="center"/>
    </xf>
    <xf numFmtId="0" fontId="132" fillId="18" borderId="38" xfId="0" applyFont="1" applyFill="1" applyBorder="1" applyAlignment="1">
      <alignment horizontal="center" vertical="center"/>
    </xf>
    <xf numFmtId="0" fontId="124" fillId="18" borderId="23" xfId="0" applyFont="1" applyFill="1" applyBorder="1" applyAlignment="1">
      <alignment horizontal="center" vertical="center"/>
    </xf>
    <xf numFmtId="178" fontId="80" fillId="18" borderId="23" xfId="0" applyNumberFormat="1" applyFont="1" applyFill="1" applyBorder="1" applyAlignment="1">
      <alignment horizontal="center" vertical="center"/>
    </xf>
    <xf numFmtId="0" fontId="124" fillId="27" borderId="23" xfId="0" applyFont="1" applyFill="1" applyBorder="1" applyAlignment="1">
      <alignment horizontal="center" vertical="center"/>
    </xf>
    <xf numFmtId="178" fontId="80" fillId="27" borderId="23" xfId="0" applyNumberFormat="1" applyFont="1" applyFill="1" applyBorder="1" applyAlignment="1">
      <alignment horizontal="center" vertical="center"/>
    </xf>
    <xf numFmtId="0" fontId="122" fillId="27" borderId="49" xfId="0" applyFont="1" applyFill="1" applyBorder="1" applyAlignment="1">
      <alignment horizontal="center" vertical="center"/>
    </xf>
    <xf numFmtId="0" fontId="133" fillId="18" borderId="23" xfId="0" applyFont="1" applyFill="1" applyBorder="1" applyAlignment="1">
      <alignment horizontal="center" vertical="center"/>
    </xf>
    <xf numFmtId="49" fontId="124" fillId="18" borderId="22" xfId="0" applyNumberFormat="1" applyFont="1" applyFill="1" applyBorder="1" applyAlignment="1">
      <alignment horizontal="center" vertical="center"/>
    </xf>
    <xf numFmtId="0" fontId="124" fillId="18" borderId="22" xfId="0" applyFont="1" applyFill="1" applyBorder="1" applyAlignment="1">
      <alignment vertical="center"/>
    </xf>
    <xf numFmtId="0" fontId="124" fillId="18" borderId="22" xfId="0" applyFont="1" applyFill="1" applyBorder="1" applyAlignment="1">
      <alignment horizontal="center" vertical="center"/>
    </xf>
    <xf numFmtId="0" fontId="124" fillId="18" borderId="38" xfId="0" applyFont="1" applyFill="1" applyBorder="1" applyAlignment="1">
      <alignment horizontal="center" vertical="center"/>
    </xf>
    <xf numFmtId="0" fontId="134" fillId="18" borderId="38" xfId="0" applyFont="1" applyFill="1" applyBorder="1"/>
    <xf numFmtId="0" fontId="124" fillId="18" borderId="11" xfId="0" applyFont="1" applyFill="1" applyBorder="1" applyAlignment="1">
      <alignment horizontal="center" vertical="center"/>
    </xf>
    <xf numFmtId="0" fontId="135" fillId="18" borderId="49" xfId="0" applyFont="1" applyFill="1" applyBorder="1" applyAlignment="1">
      <alignment horizontal="left" vertical="center"/>
    </xf>
    <xf numFmtId="178" fontId="88" fillId="0" borderId="58" xfId="0" applyNumberFormat="1" applyFont="1" applyBorder="1" applyAlignment="1">
      <alignment horizontal="center" vertical="center"/>
    </xf>
    <xf numFmtId="0" fontId="73" fillId="18" borderId="23" xfId="0" applyFont="1" applyFill="1" applyBorder="1" applyAlignment="1">
      <alignment horizontal="center" vertical="center"/>
    </xf>
    <xf numFmtId="0" fontId="88" fillId="0" borderId="58" xfId="0" applyFont="1" applyBorder="1" applyAlignment="1">
      <alignment horizontal="center" vertical="center"/>
    </xf>
    <xf numFmtId="0" fontId="80" fillId="0" borderId="58" xfId="0" applyFont="1" applyBorder="1" applyAlignment="1">
      <alignment horizontal="center" vertical="center"/>
    </xf>
    <xf numFmtId="0" fontId="8" fillId="2" borderId="73" xfId="0" applyFont="1" applyFill="1" applyBorder="1" applyAlignment="1">
      <alignment horizontal="left" vertical="center"/>
    </xf>
    <xf numFmtId="0" fontId="85" fillId="7" borderId="38" xfId="0" applyFont="1" applyFill="1" applyBorder="1" applyAlignment="1">
      <alignment horizontal="center" vertical="center"/>
    </xf>
    <xf numFmtId="0" fontId="137" fillId="2" borderId="49" xfId="0" applyFont="1" applyFill="1" applyBorder="1" applyAlignment="1">
      <alignment horizontal="center" vertical="center"/>
    </xf>
    <xf numFmtId="49" fontId="123" fillId="2" borderId="58" xfId="0" applyNumberFormat="1" applyFont="1" applyFill="1" applyBorder="1" applyAlignment="1">
      <alignment horizontal="center" vertical="center"/>
    </xf>
    <xf numFmtId="49" fontId="124" fillId="2" borderId="67" xfId="0" applyNumberFormat="1" applyFont="1" applyFill="1" applyBorder="1" applyAlignment="1">
      <alignment vertical="center" wrapText="1"/>
    </xf>
    <xf numFmtId="0" fontId="125" fillId="2" borderId="58" xfId="0" applyFont="1" applyFill="1" applyBorder="1" applyAlignment="1">
      <alignment vertical="center"/>
    </xf>
    <xf numFmtId="178" fontId="53" fillId="11" borderId="58" xfId="0" applyNumberFormat="1" applyFont="1" applyFill="1" applyBorder="1" applyAlignment="1">
      <alignment horizontal="center" vertical="center"/>
    </xf>
    <xf numFmtId="0" fontId="138" fillId="7" borderId="59" xfId="0" applyFont="1" applyFill="1" applyBorder="1" applyAlignment="1">
      <alignment horizontal="center" vertical="center"/>
    </xf>
    <xf numFmtId="0" fontId="139" fillId="2" borderId="73" xfId="0" applyFont="1" applyFill="1" applyBorder="1" applyAlignment="1">
      <alignment horizontal="center" vertical="center"/>
    </xf>
    <xf numFmtId="49" fontId="123" fillId="2" borderId="7" xfId="0" applyNumberFormat="1" applyFont="1" applyFill="1" applyBorder="1" applyAlignment="1">
      <alignment horizontal="center" vertical="center"/>
    </xf>
    <xf numFmtId="0" fontId="124" fillId="2" borderId="11" xfId="0" applyFont="1" applyFill="1" applyBorder="1" applyAlignment="1">
      <alignment vertical="center"/>
    </xf>
    <xf numFmtId="49" fontId="123" fillId="2" borderId="11" xfId="0" applyNumberFormat="1" applyFont="1" applyFill="1" applyBorder="1" applyAlignment="1">
      <alignment horizontal="center" vertical="center"/>
    </xf>
    <xf numFmtId="49" fontId="124" fillId="2" borderId="11" xfId="0" applyNumberFormat="1" applyFont="1" applyFill="1" applyBorder="1" applyAlignment="1">
      <alignment vertical="center" wrapText="1"/>
    </xf>
    <xf numFmtId="0" fontId="125" fillId="2" borderId="11" xfId="0" applyFont="1" applyFill="1" applyBorder="1" applyAlignment="1">
      <alignment vertical="center"/>
    </xf>
    <xf numFmtId="178" fontId="53" fillId="11" borderId="0" xfId="0" applyNumberFormat="1" applyFont="1" applyFill="1" applyAlignment="1">
      <alignment horizontal="center" vertical="center"/>
    </xf>
    <xf numFmtId="178" fontId="53" fillId="11" borderId="76" xfId="0" applyNumberFormat="1" applyFont="1" applyFill="1" applyBorder="1" applyAlignment="1">
      <alignment horizontal="center" vertical="center"/>
    </xf>
    <xf numFmtId="0" fontId="140" fillId="7" borderId="76" xfId="0" applyFont="1" applyFill="1" applyBorder="1" applyAlignment="1">
      <alignment horizontal="center" vertical="center"/>
    </xf>
    <xf numFmtId="178" fontId="80" fillId="0" borderId="9" xfId="0" applyNumberFormat="1" applyFont="1" applyBorder="1" applyAlignment="1">
      <alignment horizontal="center" vertical="center"/>
    </xf>
    <xf numFmtId="0" fontId="19" fillId="2" borderId="9" xfId="0" applyFont="1" applyFill="1" applyBorder="1"/>
    <xf numFmtId="49" fontId="123" fillId="2" borderId="25" xfId="0" applyNumberFormat="1" applyFont="1" applyFill="1" applyBorder="1" applyAlignment="1">
      <alignment horizontal="center" vertical="center"/>
    </xf>
    <xf numFmtId="0" fontId="125" fillId="2" borderId="25" xfId="0" applyFont="1" applyFill="1" applyBorder="1" applyAlignment="1">
      <alignment vertical="center"/>
    </xf>
    <xf numFmtId="0" fontId="8" fillId="2" borderId="37" xfId="0" applyFont="1" applyFill="1" applyBorder="1" applyAlignment="1">
      <alignment horizontal="left" vertical="center"/>
    </xf>
    <xf numFmtId="0" fontId="124" fillId="17" borderId="34" xfId="0" applyFont="1" applyFill="1" applyBorder="1" applyAlignment="1">
      <alignment horizontal="center" vertical="center"/>
    </xf>
    <xf numFmtId="0" fontId="124" fillId="16" borderId="34" xfId="0" applyFont="1" applyFill="1" applyBorder="1" applyAlignment="1">
      <alignment horizontal="center" vertical="center"/>
    </xf>
    <xf numFmtId="178" fontId="53" fillId="2" borderId="34" xfId="0" applyNumberFormat="1" applyFont="1" applyFill="1" applyBorder="1" applyAlignment="1">
      <alignment horizontal="center" vertical="center"/>
    </xf>
    <xf numFmtId="0" fontId="85" fillId="7" borderId="59" xfId="0" applyFont="1" applyFill="1" applyBorder="1" applyAlignment="1">
      <alignment horizontal="center" vertical="center"/>
    </xf>
    <xf numFmtId="0" fontId="122" fillId="2" borderId="73" xfId="0" applyFont="1" applyFill="1" applyBorder="1" applyAlignment="1">
      <alignment horizontal="center" vertical="center"/>
    </xf>
    <xf numFmtId="178" fontId="53" fillId="11" borderId="11" xfId="0" applyNumberFormat="1" applyFont="1" applyFill="1" applyBorder="1" applyAlignment="1">
      <alignment horizontal="center" vertical="center"/>
    </xf>
    <xf numFmtId="0" fontId="124" fillId="17" borderId="45" xfId="0" applyFont="1" applyFill="1" applyBorder="1" applyAlignment="1">
      <alignment horizontal="center" vertical="center"/>
    </xf>
    <xf numFmtId="0" fontId="124" fillId="16" borderId="45" xfId="0" applyFont="1" applyFill="1" applyBorder="1" applyAlignment="1">
      <alignment horizontal="center" vertical="center"/>
    </xf>
    <xf numFmtId="178" fontId="53" fillId="2" borderId="45" xfId="0" applyNumberFormat="1" applyFont="1" applyFill="1" applyBorder="1" applyAlignment="1">
      <alignment horizontal="center" vertical="center"/>
    </xf>
    <xf numFmtId="0" fontId="88" fillId="2" borderId="23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/>
    </xf>
    <xf numFmtId="0" fontId="23" fillId="0" borderId="5" xfId="0" applyFont="1" applyBorder="1"/>
    <xf numFmtId="0" fontId="23" fillId="0" borderId="7" xfId="0" applyFont="1" applyBorder="1"/>
    <xf numFmtId="0" fontId="20" fillId="5" borderId="4" xfId="0" applyFont="1" applyFill="1" applyBorder="1" applyAlignment="1">
      <alignment horizontal="center"/>
    </xf>
    <xf numFmtId="0" fontId="31" fillId="0" borderId="4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0" fillId="0" borderId="0" xfId="0"/>
    <xf numFmtId="0" fontId="9" fillId="0" borderId="0" xfId="0" applyFont="1"/>
    <xf numFmtId="0" fontId="20" fillId="5" borderId="3" xfId="0" applyFont="1" applyFill="1" applyBorder="1" applyAlignment="1">
      <alignment horizontal="center"/>
    </xf>
    <xf numFmtId="0" fontId="23" fillId="0" borderId="9" xfId="0" applyFont="1" applyBorder="1"/>
    <xf numFmtId="0" fontId="29" fillId="5" borderId="4" xfId="0" applyFont="1" applyFill="1" applyBorder="1" applyAlignment="1">
      <alignment horizontal="center"/>
    </xf>
    <xf numFmtId="0" fontId="29" fillId="5" borderId="3" xfId="0" applyFont="1" applyFill="1" applyBorder="1" applyAlignment="1">
      <alignment horizontal="center"/>
    </xf>
    <xf numFmtId="0" fontId="59" fillId="8" borderId="30" xfId="0" applyFont="1" applyFill="1" applyBorder="1" applyAlignment="1">
      <alignment horizontal="center" vertical="center" wrapText="1"/>
    </xf>
    <xf numFmtId="0" fontId="23" fillId="0" borderId="42" xfId="0" applyFont="1" applyBorder="1"/>
    <xf numFmtId="0" fontId="23" fillId="0" borderId="46" xfId="0" applyFont="1" applyBorder="1"/>
    <xf numFmtId="0" fontId="67" fillId="8" borderId="35" xfId="0" applyFont="1" applyFill="1" applyBorder="1" applyAlignment="1">
      <alignment horizontal="center" vertical="center" wrapText="1"/>
    </xf>
    <xf numFmtId="0" fontId="23" fillId="0" borderId="39" xfId="0" applyFont="1" applyBorder="1"/>
    <xf numFmtId="0" fontId="71" fillId="0" borderId="25" xfId="0" applyFont="1" applyBorder="1" applyAlignment="1">
      <alignment horizontal="center" vertical="center"/>
    </xf>
    <xf numFmtId="0" fontId="23" fillId="0" borderId="22" xfId="0" applyFont="1" applyBorder="1"/>
    <xf numFmtId="0" fontId="57" fillId="8" borderId="27" xfId="0" applyFont="1" applyFill="1" applyBorder="1" applyAlignment="1">
      <alignment horizontal="center" vertical="center"/>
    </xf>
    <xf numFmtId="0" fontId="23" fillId="0" borderId="28" xfId="0" applyFont="1" applyBorder="1"/>
    <xf numFmtId="0" fontId="23" fillId="0" borderId="29" xfId="0" applyFont="1" applyBorder="1"/>
    <xf numFmtId="0" fontId="61" fillId="8" borderId="31" xfId="0" applyFont="1" applyFill="1" applyBorder="1" applyAlignment="1">
      <alignment horizontal="center" vertical="center" wrapText="1"/>
    </xf>
    <xf numFmtId="0" fontId="23" fillId="0" borderId="32" xfId="0" applyFont="1" applyBorder="1"/>
    <xf numFmtId="0" fontId="23" fillId="0" borderId="33" xfId="0" applyFont="1" applyBorder="1"/>
    <xf numFmtId="0" fontId="63" fillId="8" borderId="34" xfId="0" applyFont="1" applyFill="1" applyBorder="1" applyAlignment="1">
      <alignment horizontal="center" vertical="center"/>
    </xf>
    <xf numFmtId="0" fontId="23" fillId="0" borderId="41" xfId="0" applyFont="1" applyBorder="1"/>
    <xf numFmtId="0" fontId="23" fillId="0" borderId="45" xfId="0" applyFont="1" applyBorder="1"/>
    <xf numFmtId="0" fontId="51" fillId="8" borderId="34" xfId="0" applyFont="1" applyFill="1" applyBorder="1" applyAlignment="1">
      <alignment horizontal="center" vertical="center"/>
    </xf>
    <xf numFmtId="178" fontId="53" fillId="11" borderId="34" xfId="0" applyNumberFormat="1" applyFont="1" applyFill="1" applyBorder="1" applyAlignment="1">
      <alignment horizontal="center" vertical="center" wrapText="1"/>
    </xf>
    <xf numFmtId="0" fontId="49" fillId="8" borderId="39" xfId="0" applyFont="1" applyFill="1" applyBorder="1" applyAlignment="1">
      <alignment horizontal="center" vertical="center" wrapText="1"/>
    </xf>
    <xf numFmtId="0" fontId="23" fillId="0" borderId="40" xfId="0" applyFont="1" applyBorder="1"/>
    <xf numFmtId="0" fontId="73" fillId="18" borderId="34" xfId="0" applyFont="1" applyFill="1" applyBorder="1" applyAlignment="1">
      <alignment horizontal="center" vertical="center"/>
    </xf>
    <xf numFmtId="0" fontId="73" fillId="18" borderId="41" xfId="0" applyFont="1" applyFill="1" applyBorder="1" applyAlignment="1">
      <alignment horizontal="center" vertical="center"/>
    </xf>
    <xf numFmtId="0" fontId="124" fillId="18" borderId="70" xfId="0" applyFont="1" applyFill="1" applyBorder="1" applyAlignment="1">
      <alignment horizontal="center" vertical="center"/>
    </xf>
    <xf numFmtId="0" fontId="23" fillId="0" borderId="79" xfId="0" applyFont="1" applyBorder="1"/>
    <xf numFmtId="0" fontId="23" fillId="0" borderId="49" xfId="0" applyFont="1" applyBorder="1"/>
    <xf numFmtId="0" fontId="124" fillId="17" borderId="24" xfId="0" applyFont="1" applyFill="1" applyBorder="1" applyAlignment="1">
      <alignment horizontal="center" vertical="center"/>
    </xf>
    <xf numFmtId="0" fontId="23" fillId="0" borderId="18" xfId="0" applyFont="1" applyBorder="1"/>
    <xf numFmtId="0" fontId="23" fillId="0" borderId="19" xfId="0" applyFont="1" applyBorder="1"/>
    <xf numFmtId="49" fontId="123" fillId="2" borderId="79" xfId="0" applyNumberFormat="1" applyFont="1" applyFill="1" applyBorder="1" applyAlignment="1">
      <alignment horizontal="center" vertical="center"/>
    </xf>
    <xf numFmtId="49" fontId="123" fillId="2" borderId="87" xfId="0" applyNumberFormat="1" applyFont="1" applyFill="1" applyBorder="1" applyAlignment="1">
      <alignment horizontal="center" vertical="center"/>
    </xf>
    <xf numFmtId="0" fontId="23" fillId="0" borderId="87" xfId="0" applyFont="1" applyBorder="1"/>
    <xf numFmtId="0" fontId="136" fillId="18" borderId="34" xfId="0" applyFont="1" applyFill="1" applyBorder="1" applyAlignment="1">
      <alignment horizontal="center" vertical="center"/>
    </xf>
    <xf numFmtId="0" fontId="73" fillId="2" borderId="34" xfId="0" applyFont="1" applyFill="1" applyBorder="1" applyAlignment="1">
      <alignment horizontal="center" vertical="center"/>
    </xf>
    <xf numFmtId="0" fontId="15" fillId="4" borderId="0" xfId="0" applyFont="1" applyFill="1" applyAlignment="1">
      <alignment horizontal="center" vertical="center" wrapText="1"/>
    </xf>
    <xf numFmtId="0" fontId="27" fillId="7" borderId="10" xfId="0" applyFont="1" applyFill="1" applyBorder="1" applyAlignment="1">
      <alignment horizontal="center" vertical="center"/>
    </xf>
    <xf numFmtId="0" fontId="23" fillId="0" borderId="12" xfId="0" applyFont="1" applyBorder="1"/>
    <xf numFmtId="0" fontId="23" fillId="0" borderId="13" xfId="0" applyFont="1" applyBorder="1"/>
    <xf numFmtId="0" fontId="36" fillId="2" borderId="0" xfId="0" applyFont="1" applyFill="1" applyAlignment="1">
      <alignment horizontal="center" vertical="center" wrapText="1"/>
    </xf>
    <xf numFmtId="0" fontId="29" fillId="2" borderId="18" xfId="0" applyFont="1" applyFill="1" applyBorder="1" applyAlignment="1">
      <alignment horizontal="center" wrapText="1"/>
    </xf>
    <xf numFmtId="0" fontId="41" fillId="2" borderId="0" xfId="0" applyFont="1" applyFill="1" applyAlignment="1">
      <alignment horizontal="center" vertical="center" wrapText="1"/>
    </xf>
    <xf numFmtId="0" fontId="53" fillId="11" borderId="24" xfId="0" applyFont="1" applyFill="1" applyBorder="1" applyAlignment="1">
      <alignment horizontal="center" vertical="center" wrapText="1"/>
    </xf>
    <xf numFmtId="178" fontId="67" fillId="8" borderId="41" xfId="0" applyNumberFormat="1" applyFont="1" applyFill="1" applyBorder="1" applyAlignment="1">
      <alignment horizontal="center" vertical="center"/>
    </xf>
    <xf numFmtId="0" fontId="49" fillId="14" borderId="39" xfId="0" applyFont="1" applyFill="1" applyBorder="1" applyAlignment="1">
      <alignment horizontal="center" vertical="center" wrapText="1"/>
    </xf>
    <xf numFmtId="0" fontId="71" fillId="0" borderId="9" xfId="0" applyFont="1" applyBorder="1" applyAlignment="1">
      <alignment horizontal="center" vertical="center"/>
    </xf>
    <xf numFmtId="0" fontId="23" fillId="0" borderId="38" xfId="0" applyFont="1" applyBorder="1"/>
    <xf numFmtId="178" fontId="71" fillId="0" borderId="25" xfId="0" applyNumberFormat="1" applyFont="1" applyBorder="1" applyAlignment="1">
      <alignment horizontal="center" vertical="center"/>
    </xf>
    <xf numFmtId="178" fontId="16" fillId="7" borderId="34" xfId="0" applyNumberFormat="1" applyFont="1" applyFill="1" applyBorder="1" applyAlignment="1">
      <alignment horizontal="center" vertical="center" wrapText="1"/>
    </xf>
    <xf numFmtId="0" fontId="26" fillId="7" borderId="0" xfId="0" applyFont="1" applyFill="1" applyAlignment="1">
      <alignment horizontal="left"/>
    </xf>
    <xf numFmtId="0" fontId="26" fillId="13" borderId="0" xfId="0" applyFont="1" applyFill="1" applyAlignment="1">
      <alignment horizontal="left"/>
    </xf>
    <xf numFmtId="0" fontId="26" fillId="13" borderId="0" xfId="0" applyFont="1" applyFill="1" applyAlignment="1">
      <alignment horizontal="left" vertical="top"/>
    </xf>
    <xf numFmtId="0" fontId="26" fillId="15" borderId="0" xfId="0" applyFont="1" applyFill="1" applyAlignment="1">
      <alignment horizontal="left"/>
    </xf>
    <xf numFmtId="0" fontId="26" fillId="10" borderId="0" xfId="0" applyFont="1" applyFill="1" applyAlignment="1">
      <alignment horizontal="left"/>
    </xf>
    <xf numFmtId="0" fontId="5" fillId="2" borderId="0" xfId="0" applyFont="1" applyFill="1" applyAlignment="1">
      <alignment horizontal="left" wrapText="1"/>
    </xf>
    <xf numFmtId="0" fontId="26" fillId="6" borderId="0" xfId="0" applyFont="1" applyFill="1" applyAlignment="1">
      <alignment horizontal="left"/>
    </xf>
    <xf numFmtId="0" fontId="26" fillId="12" borderId="0" xfId="0" applyFont="1" applyFill="1" applyAlignment="1">
      <alignment horizontal="left"/>
    </xf>
    <xf numFmtId="0" fontId="33" fillId="0" borderId="5" xfId="0" applyFont="1" applyBorder="1" applyAlignment="1">
      <alignment horizontal="center"/>
    </xf>
    <xf numFmtId="0" fontId="32" fillId="0" borderId="4" xfId="0" applyFont="1" applyBorder="1" applyAlignment="1">
      <alignment horizontal="center"/>
    </xf>
    <xf numFmtId="0" fontId="33" fillId="2" borderId="5" xfId="0" applyFont="1" applyFill="1" applyBorder="1" applyAlignment="1">
      <alignment horizontal="center"/>
    </xf>
    <xf numFmtId="0" fontId="45" fillId="10" borderId="3" xfId="0" applyFont="1" applyFill="1" applyBorder="1" applyAlignment="1">
      <alignment horizontal="center" vertical="center"/>
    </xf>
    <xf numFmtId="0" fontId="46" fillId="0" borderId="5" xfId="0" applyFont="1" applyBorder="1" applyAlignment="1">
      <alignment horizontal="center"/>
    </xf>
    <xf numFmtId="0" fontId="32" fillId="0" borderId="25" xfId="0" applyFont="1" applyBorder="1" applyAlignment="1">
      <alignment horizontal="center" vertical="center"/>
    </xf>
    <xf numFmtId="0" fontId="46" fillId="2" borderId="5" xfId="0" applyFont="1" applyFill="1" applyBorder="1" applyAlignment="1">
      <alignment horizontal="center"/>
    </xf>
    <xf numFmtId="0" fontId="32" fillId="2" borderId="25" xfId="0" applyFont="1" applyFill="1" applyBorder="1" applyAlignment="1">
      <alignment horizontal="center" vertical="center"/>
    </xf>
    <xf numFmtId="0" fontId="32" fillId="2" borderId="4" xfId="0" applyFont="1" applyFill="1" applyBorder="1" applyAlignment="1">
      <alignment horizontal="center"/>
    </xf>
    <xf numFmtId="0" fontId="33" fillId="9" borderId="4" xfId="0" applyFont="1" applyFill="1" applyBorder="1" applyAlignment="1">
      <alignment horizontal="center"/>
    </xf>
    <xf numFmtId="0" fontId="33" fillId="9" borderId="5" xfId="0" applyFont="1" applyFill="1" applyBorder="1" applyAlignment="1">
      <alignment horizontal="center"/>
    </xf>
    <xf numFmtId="0" fontId="45" fillId="9" borderId="3" xfId="0" applyFont="1" applyFill="1" applyBorder="1" applyAlignment="1">
      <alignment horizontal="center" vertical="center"/>
    </xf>
    <xf numFmtId="0" fontId="46" fillId="9" borderId="5" xfId="0" applyFont="1" applyFill="1" applyBorder="1" applyAlignment="1">
      <alignment horizontal="center"/>
    </xf>
    <xf numFmtId="0" fontId="32" fillId="9" borderId="25" xfId="0" applyFont="1" applyFill="1" applyBorder="1" applyAlignment="1">
      <alignment horizontal="center" vertical="center"/>
    </xf>
    <xf numFmtId="0" fontId="25" fillId="0" borderId="4" xfId="0" applyFont="1" applyBorder="1" applyAlignment="1">
      <alignment horizontal="center" vertical="top"/>
    </xf>
    <xf numFmtId="0" fontId="28" fillId="0" borderId="4" xfId="0" applyFont="1" applyBorder="1" applyAlignment="1">
      <alignment horizontal="left"/>
    </xf>
    <xf numFmtId="0" fontId="21" fillId="0" borderId="4" xfId="0" applyFont="1" applyBorder="1"/>
    <xf numFmtId="0" fontId="28" fillId="0" borderId="4" xfId="0" applyFont="1" applyBorder="1" applyAlignment="1">
      <alignment horizontal="left" vertical="center"/>
    </xf>
    <xf numFmtId="0" fontId="28" fillId="0" borderId="4" xfId="0" applyFont="1" applyBorder="1" applyAlignment="1">
      <alignment vertical="center"/>
    </xf>
    <xf numFmtId="0" fontId="21" fillId="0" borderId="5" xfId="0" applyFont="1" applyBorder="1" applyAlignment="1">
      <alignment vertical="center"/>
    </xf>
    <xf numFmtId="0" fontId="21" fillId="0" borderId="4" xfId="0" applyFont="1" applyBorder="1" applyAlignment="1">
      <alignment horizontal="left"/>
    </xf>
    <xf numFmtId="0" fontId="42" fillId="2" borderId="0" xfId="0" applyFont="1" applyFill="1" applyAlignment="1">
      <alignment horizontal="left" vertical="center"/>
    </xf>
    <xf numFmtId="0" fontId="32" fillId="9" borderId="9" xfId="0" applyFont="1" applyFill="1" applyBorder="1" applyAlignment="1">
      <alignment horizontal="center" vertical="center"/>
    </xf>
    <xf numFmtId="0" fontId="32" fillId="9" borderId="4" xfId="0" applyFont="1" applyFill="1" applyBorder="1" applyAlignment="1">
      <alignment horizontal="center"/>
    </xf>
    <xf numFmtId="0" fontId="72" fillId="9" borderId="25" xfId="0" applyFont="1" applyFill="1" applyBorder="1" applyAlignment="1">
      <alignment horizontal="center" vertical="center"/>
    </xf>
    <xf numFmtId="0" fontId="23" fillId="0" borderId="25" xfId="0" applyFont="1" applyBorder="1"/>
    <xf numFmtId="0" fontId="87" fillId="20" borderId="59" xfId="0" applyFont="1" applyFill="1" applyBorder="1" applyAlignment="1">
      <alignment horizontal="center" vertical="center" wrapText="1"/>
    </xf>
    <xf numFmtId="0" fontId="23" fillId="0" borderId="60" xfId="0" applyFont="1" applyBorder="1"/>
    <xf numFmtId="0" fontId="14" fillId="21" borderId="52" xfId="0" applyFont="1" applyFill="1" applyBorder="1" applyAlignment="1">
      <alignment horizontal="center" vertical="center"/>
    </xf>
    <xf numFmtId="0" fontId="23" fillId="0" borderId="53" xfId="0" applyFont="1" applyBorder="1"/>
    <xf numFmtId="0" fontId="90" fillId="22" borderId="65" xfId="0" applyFont="1" applyFill="1" applyBorder="1" applyAlignment="1">
      <alignment horizontal="center" vertical="center"/>
    </xf>
    <xf numFmtId="0" fontId="23" fillId="0" borderId="66" xfId="0" applyFont="1" applyBorder="1"/>
    <xf numFmtId="0" fontId="23" fillId="0" borderId="56" xfId="0" applyFont="1" applyBorder="1"/>
    <xf numFmtId="0" fontId="23" fillId="0" borderId="68" xfId="0" applyFont="1" applyBorder="1"/>
    <xf numFmtId="0" fontId="42" fillId="0" borderId="0" xfId="0" applyFont="1" applyAlignment="1">
      <alignment horizontal="left" vertical="center"/>
    </xf>
    <xf numFmtId="0" fontId="86" fillId="20" borderId="51" xfId="0" applyFont="1" applyFill="1" applyBorder="1" applyAlignment="1">
      <alignment horizontal="center" vertical="center"/>
    </xf>
    <xf numFmtId="0" fontId="23" fillId="0" borderId="57" xfId="0" applyFont="1" applyBorder="1"/>
    <xf numFmtId="0" fontId="87" fillId="20" borderId="52" xfId="0" applyFont="1" applyFill="1" applyBorder="1" applyAlignment="1">
      <alignment horizontal="center" vertical="center" wrapText="1"/>
    </xf>
    <xf numFmtId="0" fontId="23" fillId="0" borderId="55" xfId="0" applyFont="1" applyBorder="1"/>
    <xf numFmtId="0" fontId="23" fillId="0" borderId="61" xfId="0" applyFont="1" applyBorder="1"/>
    <xf numFmtId="0" fontId="14" fillId="22" borderId="70" xfId="0" applyFont="1" applyFill="1" applyBorder="1" applyAlignment="1">
      <alignment horizontal="center" vertical="center"/>
    </xf>
    <xf numFmtId="0" fontId="23" fillId="0" borderId="71" xfId="0" applyFont="1" applyBorder="1"/>
    <xf numFmtId="0" fontId="14" fillId="24" borderId="70" xfId="0" applyFont="1" applyFill="1" applyBorder="1" applyAlignment="1">
      <alignment horizontal="center" vertical="center"/>
    </xf>
    <xf numFmtId="0" fontId="94" fillId="24" borderId="76" xfId="0" applyFont="1" applyFill="1" applyBorder="1" applyAlignment="1">
      <alignment horizontal="center" vertical="center"/>
    </xf>
    <xf numFmtId="0" fontId="94" fillId="24" borderId="4" xfId="0" applyFont="1" applyFill="1" applyBorder="1" applyAlignment="1">
      <alignment horizontal="center" vertical="center"/>
    </xf>
    <xf numFmtId="0" fontId="23" fillId="0" borderId="77" xfId="0" applyFont="1" applyBorder="1"/>
    <xf numFmtId="0" fontId="23" fillId="0" borderId="74" xfId="0" applyFont="1" applyBorder="1"/>
    <xf numFmtId="0" fontId="94" fillId="24" borderId="80" xfId="0" applyFont="1" applyFill="1" applyBorder="1" applyAlignment="1">
      <alignment horizontal="center" vertical="center"/>
    </xf>
    <xf numFmtId="0" fontId="23" fillId="0" borderId="67" xfId="0" applyFont="1" applyBorder="1"/>
    <xf numFmtId="0" fontId="22" fillId="0" borderId="0" xfId="0" applyFont="1" applyAlignment="1">
      <alignment horizontal="left" vertical="center"/>
    </xf>
    <xf numFmtId="0" fontId="28" fillId="0" borderId="4" xfId="0" applyFont="1" applyBorder="1"/>
    <xf numFmtId="0" fontId="21" fillId="0" borderId="5" xfId="0" applyFont="1" applyBorder="1"/>
    <xf numFmtId="0" fontId="94" fillId="21" borderId="4" xfId="0" applyFont="1" applyFill="1" applyBorder="1" applyAlignment="1">
      <alignment horizontal="center" vertical="center"/>
    </xf>
    <xf numFmtId="0" fontId="94" fillId="2" borderId="4" xfId="0" applyFont="1" applyFill="1" applyBorder="1" applyAlignment="1">
      <alignment horizontal="center" vertical="center"/>
    </xf>
  </cellXfs>
  <cellStyles count="1">
    <cellStyle name="一般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361950</xdr:colOff>
      <xdr:row>0</xdr:row>
      <xdr:rowOff>190500</xdr:rowOff>
    </xdr:from>
    <xdr:ext cx="2667000" cy="809625"/>
    <xdr:pic>
      <xdr:nvPicPr>
        <xdr:cNvPr id="2" name="image2.jp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90750" cy="733425"/>
    <xdr:pic>
      <xdr:nvPicPr>
        <xdr:cNvPr id="2" name="image2.jp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342900</xdr:colOff>
      <xdr:row>0</xdr:row>
      <xdr:rowOff>19050</xdr:rowOff>
    </xdr:from>
    <xdr:ext cx="2667000" cy="809625"/>
    <xdr:pic>
      <xdr:nvPicPr>
        <xdr:cNvPr id="2" name="image2.jpg" title="Ima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85725</xdr:colOff>
      <xdr:row>0</xdr:row>
      <xdr:rowOff>228600</xdr:rowOff>
    </xdr:from>
    <xdr:ext cx="2828925" cy="800100"/>
    <xdr:pic>
      <xdr:nvPicPr>
        <xdr:cNvPr id="2" name="image1.png" title="รูปภาพ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0</xdr:row>
      <xdr:rowOff>219075</xdr:rowOff>
    </xdr:from>
    <xdr:ext cx="2371725" cy="752475"/>
    <xdr:pic>
      <xdr:nvPicPr>
        <xdr:cNvPr id="2" name="image1.png" title="รูปภาพ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bkktslines-my.sharepoint.com/:f:/g/personal/ladawan_bkk-tslines_com/Eq9mh9L4r3JBvDgdbi7jvCMBsk-jSk12w2CEsUkCnkd4EQ?e=gIPI03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bkktslines.sharepoint.com/:b:/s/SALES-CS/IQCHkXbJC1cuQr90nGR89H-5Ae1bhNtP3J6hbFfyWF_GfRQ?e=Sezg79" TargetMode="External"/><Relationship Id="rId21" Type="http://schemas.openxmlformats.org/officeDocument/2006/relationships/hyperlink" Target="https://bkktslines.sharepoint.com/:b:/s/SALES-CS/IQDQJXMBiqsJQZp4ZgfccrkuAbfXy3Jjs7yPGRFVDlyfAhs?e=Trqmy3" TargetMode="External"/><Relationship Id="rId63" Type="http://schemas.openxmlformats.org/officeDocument/2006/relationships/hyperlink" Target="https://bkktslines.sharepoint.com/:b:/s/SALES-CS/IQB9nVjQc_JCQIXINaY2HtqeAWJk4UGey6n833itNtgtKAs?e=JhRm4m" TargetMode="External"/><Relationship Id="rId159" Type="http://schemas.openxmlformats.org/officeDocument/2006/relationships/hyperlink" Target="https://bkktslines.sharepoint.com/:b:/s/SALES-CS/IQD9RzOGearpQr1CkxCHi1dQAQEsVJOMlNp_LvvfZD4Tsrk?e=jJl6I0" TargetMode="External"/><Relationship Id="rId170" Type="http://schemas.openxmlformats.org/officeDocument/2006/relationships/hyperlink" Target="https://bkktslines.sharepoint.com/:b:/s/SALES-CS/IQB3RgAtcnIuTJWN-e3565bjAWC1OG5LvbGNgqAN4jn81bw?e=Aw1NU0" TargetMode="External"/><Relationship Id="rId226" Type="http://schemas.openxmlformats.org/officeDocument/2006/relationships/hyperlink" Target="https://www.tips.co.th/container/shipSched/List" TargetMode="External"/><Relationship Id="rId268" Type="http://schemas.openxmlformats.org/officeDocument/2006/relationships/hyperlink" Target="https://online.hutchisonports.co.th/hptpcs/r/hpt_ws/hpt-super-app114/vessel-schedule" TargetMode="External"/><Relationship Id="rId32" Type="http://schemas.openxmlformats.org/officeDocument/2006/relationships/hyperlink" Target="https://bkktslines.sharepoint.com/:b:/s/SALES-CS/IQDfXXq9j2WbSYI_MfHs8HM2AVZZpUYNDgZjYnzpQmRBZcM?e=0EQ2gU" TargetMode="External"/><Relationship Id="rId74" Type="http://schemas.openxmlformats.org/officeDocument/2006/relationships/hyperlink" Target="https://service.esco.co.th/BerthSchedule" TargetMode="External"/><Relationship Id="rId128" Type="http://schemas.openxmlformats.org/officeDocument/2006/relationships/hyperlink" Target="https://www.lcit.com/vessel?vsl=TS+OSAKA&amp;voy=2606N" TargetMode="External"/><Relationship Id="rId5" Type="http://schemas.openxmlformats.org/officeDocument/2006/relationships/hyperlink" Target="https://service.esco.co.th/BerthSchedule" TargetMode="External"/><Relationship Id="rId181" Type="http://schemas.openxmlformats.org/officeDocument/2006/relationships/hyperlink" Target="https://bkktslines.sharepoint.com/:b:/s/SALES-CS/IQAS2n0hTObfQZWezZzEcThFAdYuPEVwlNaKLhS4NgC38MQ?e=nHuYeD" TargetMode="External"/><Relationship Id="rId237" Type="http://schemas.openxmlformats.org/officeDocument/2006/relationships/hyperlink" Target="https://service.esco.co.th/BerthSchedule" TargetMode="External"/><Relationship Id="rId279" Type="http://schemas.openxmlformats.org/officeDocument/2006/relationships/hyperlink" Target="https://online.hutchisonports.co.th/hptpcs/r/hpt_ws/hpt-super-app114/vessel-schedule" TargetMode="External"/><Relationship Id="rId43" Type="http://schemas.openxmlformats.org/officeDocument/2006/relationships/hyperlink" Target="https://bkktslines.sharepoint.com/:b:/s/SALES-CS/IQA52IYngYRxTY-wXWHbQL9vAZOzODgnkTi0kL99xTEnwF4?e=LRZwQh" TargetMode="External"/><Relationship Id="rId139" Type="http://schemas.openxmlformats.org/officeDocument/2006/relationships/hyperlink" Target="https://bkktslines.sharepoint.com/:b:/s/SALES-CS/IQB2qrprS2XBQYHM5i3Uj52nAb3LVmHSRgK68skos50UjgM?e=0dqhll" TargetMode="External"/><Relationship Id="rId290" Type="http://schemas.openxmlformats.org/officeDocument/2006/relationships/hyperlink" Target="https://online.hutchisonports.co.th/hptpcs/r/hpt_ws/hpt-super-app114/vessel-schedule" TargetMode="External"/><Relationship Id="rId85" Type="http://schemas.openxmlformats.org/officeDocument/2006/relationships/hyperlink" Target="https://bkktslines.sharepoint.com/:b:/s/SALES-CS/IQDzZGMV6WiAQJzH1oGh3x8-AWEqdxKy-jDxtn1Rj76VeOY?e=OFjlC4" TargetMode="External"/><Relationship Id="rId150" Type="http://schemas.openxmlformats.org/officeDocument/2006/relationships/hyperlink" Target="https://online.hutchisonports.co.th/hptpcs/f?p=114:17:112508547449089:::::" TargetMode="External"/><Relationship Id="rId192" Type="http://schemas.openxmlformats.org/officeDocument/2006/relationships/hyperlink" Target="https://bkktslines.sharepoint.com/:b:/s/SALES-CS/IQDddts-SDjDTKcVYq--CiOzAdvNx7bs3UoTS_5mOvxybTc?e=PEeSOL" TargetMode="External"/><Relationship Id="rId206" Type="http://schemas.openxmlformats.org/officeDocument/2006/relationships/hyperlink" Target="https://bkktslines.sharepoint.com/:b:/s/SALES-CS/IQDcNN5Sl3tKTq5ytd__K9bGAfVCW03pUlx7G_MyL48U1d8?e=fkxpfm" TargetMode="External"/><Relationship Id="rId248" Type="http://schemas.openxmlformats.org/officeDocument/2006/relationships/hyperlink" Target="https://bkktslines.sharepoint.com/:b:/s/SALES-CS/IQBNxZj126iWT7tgVV7jXJJeAedMZi8BOvoHhNXysE3iNyg?e=5IdLoR" TargetMode="External"/><Relationship Id="rId12" Type="http://schemas.openxmlformats.org/officeDocument/2006/relationships/hyperlink" Target="https://bkktslines.sharepoint.com/:b:/s/SALES-CS/IQAvoR6ISF4RQZDwo2XBIx65AdXpRx-2gV64hBh5_SN32cc?e=2aEfty" TargetMode="External"/><Relationship Id="rId108" Type="http://schemas.openxmlformats.org/officeDocument/2006/relationships/hyperlink" Target="https://www.lcit.com/vessel?vsl=SAWASDEE+MIMOSA&amp;voy=2604N" TargetMode="External"/><Relationship Id="rId54" Type="http://schemas.openxmlformats.org/officeDocument/2006/relationships/hyperlink" Target="https://service.esco.co.th/BerthSchedule" TargetMode="External"/><Relationship Id="rId75" Type="http://schemas.openxmlformats.org/officeDocument/2006/relationships/hyperlink" Target="https://bkktslines.sharepoint.com/:b:/s/SALES-CS/IQDcIztFaZ3-S5DbtycGeK50Ad7Q-sc2CuO4BsGbwYeIc4Y?e=ZIk0Yk" TargetMode="External"/><Relationship Id="rId96" Type="http://schemas.openxmlformats.org/officeDocument/2006/relationships/hyperlink" Target="https://bkktslines.sharepoint.com/:b:/s/SALES-CS/IQChloEPtetZRLivLxId4U0oAes45PBCiATrQpASQv08YAo?e=AHSDD7" TargetMode="External"/><Relationship Id="rId140" Type="http://schemas.openxmlformats.org/officeDocument/2006/relationships/hyperlink" Target="https://online.hutchisonports.co.th/hptpcs/f?p=114:17:112508547449089:::::" TargetMode="External"/><Relationship Id="rId161" Type="http://schemas.openxmlformats.org/officeDocument/2006/relationships/hyperlink" Target="https://service.esco.co.th/BerthSchedule" TargetMode="External"/><Relationship Id="rId182" Type="http://schemas.openxmlformats.org/officeDocument/2006/relationships/hyperlink" Target="https://bkktslines.sharepoint.com/:b:/s/SALES-CS/IQBGBJoL7ZJUR7bZt9E5TvcNAWnP191g0z5DuQZ82idmdUE?e=B6ZCCp" TargetMode="External"/><Relationship Id="rId217" Type="http://schemas.openxmlformats.org/officeDocument/2006/relationships/hyperlink" Target="https://www.lcit.com/vessel?vsl=SAWASDEE+MIMOSA&amp;voy=2607N" TargetMode="External"/><Relationship Id="rId6" Type="http://schemas.openxmlformats.org/officeDocument/2006/relationships/hyperlink" Target="https://bkktslines.sharepoint.com/:b:/s/SALES-CS/IQDaHZgACPEnR6oHYHrm04FcAV3l0nA3QOIP1Ye_GGBqB_4?e=xNQNBG" TargetMode="External"/><Relationship Id="rId238" Type="http://schemas.openxmlformats.org/officeDocument/2006/relationships/hyperlink" Target="https://bkktslines.sharepoint.com/:b:/s/SALES-CS/IQBjvtbSZ3NYT6U1-3DhnS2wAQFqs8EetDR4zURGpTr0e2I?e=4vbRnA" TargetMode="External"/><Relationship Id="rId259" Type="http://schemas.openxmlformats.org/officeDocument/2006/relationships/hyperlink" Target="https://www.lcit.com/vessel?vsl=LITTLE+DOLPHIN&amp;voy=2610N" TargetMode="External"/><Relationship Id="rId23" Type="http://schemas.openxmlformats.org/officeDocument/2006/relationships/hyperlink" Target="https://bkktslines.sharepoint.com/:b:/s/SALES-CS/IQCDWCm92pjiT61NT0Ach-jqAb9hlcDaXM1J9RNx06Dms-o?e=jPu8Nv" TargetMode="External"/><Relationship Id="rId119" Type="http://schemas.openxmlformats.org/officeDocument/2006/relationships/hyperlink" Target="https://bkktslines.sharepoint.com/:b:/s/SALES-CS/IQDXfDyw68TrRJwHFdIfFThhAToxmrkW9mva1GyuHj6b9Qw?e=4WTDPr" TargetMode="External"/><Relationship Id="rId270" Type="http://schemas.openxmlformats.org/officeDocument/2006/relationships/hyperlink" Target="https://www.lcit.com/vessel?vsl=SAWASDEE+DENEB&amp;voy=2609N" TargetMode="External"/><Relationship Id="rId291" Type="http://schemas.openxmlformats.org/officeDocument/2006/relationships/hyperlink" Target="https://bkktslines.sharepoint.com/:b:/s/SALES-CS/IQBhJqB7Jl9VQ6PdUFeKnHY5AZ9XOsOAUH46afvnwqcJPnA?e=YtB5UV" TargetMode="External"/><Relationship Id="rId44" Type="http://schemas.openxmlformats.org/officeDocument/2006/relationships/hyperlink" Target="https://bkktslines.sharepoint.com/:b:/s/SALES-CS/IQBkuGe5JmNeTb3FQI0tx5x2AcajlEOgqR-s6JI2n970CWI?e=y2Qy7W" TargetMode="External"/><Relationship Id="rId65" Type="http://schemas.openxmlformats.org/officeDocument/2006/relationships/hyperlink" Target="https://bkktslines.sharepoint.com/:b:/s/SALES-CS/IQAL8lzWsQduR5cHltejqY5FAYmrwFp3Xntwq_pf7F-s7VI?e=eIzVEn" TargetMode="External"/><Relationship Id="rId86" Type="http://schemas.openxmlformats.org/officeDocument/2006/relationships/hyperlink" Target="https://www.lcit.com/vessel?vsl=LITTLE+DOLPHIN&amp;voy=2604N" TargetMode="External"/><Relationship Id="rId130" Type="http://schemas.openxmlformats.org/officeDocument/2006/relationships/hyperlink" Target="https://www.lcit.com/vessel?vsl=MATOYA+BAY&amp;voy=0N80RN1NC" TargetMode="External"/><Relationship Id="rId151" Type="http://schemas.openxmlformats.org/officeDocument/2006/relationships/hyperlink" Target="https://bkktslines.sharepoint.com/:b:/s/SALES-CS/IQCiTxe_4dwpSaIxgK_EHbNvAYFUOKkv-tnlEFN9J9sNc9w?e=pZHQiF" TargetMode="External"/><Relationship Id="rId172" Type="http://schemas.openxmlformats.org/officeDocument/2006/relationships/hyperlink" Target="https://www.lcit.com/vessel?vsl=LITTLE+DOLPHIN&amp;voy=2607N" TargetMode="External"/><Relationship Id="rId193" Type="http://schemas.openxmlformats.org/officeDocument/2006/relationships/hyperlink" Target="https://bkktslines.sharepoint.com/:b:/s/SALES-CS/IQBXsWEqWYMMRoNsoL7jmQe7AUKwjMNc9FBGMzbGbY6xRg4?e=EjreyL" TargetMode="External"/><Relationship Id="rId207" Type="http://schemas.openxmlformats.org/officeDocument/2006/relationships/hyperlink" Target="https://www.lcit.com/vessel?vsl=CELSIUS+EMMEN&amp;voy=0N817N1NC" TargetMode="External"/><Relationship Id="rId228" Type="http://schemas.openxmlformats.org/officeDocument/2006/relationships/hyperlink" Target="https://www.lcit.com/vessel?vsl=TS+TIANJIN&amp;voy=2607N" TargetMode="External"/><Relationship Id="rId249" Type="http://schemas.openxmlformats.org/officeDocument/2006/relationships/hyperlink" Target="https://www.lcit.com/vessel?vsl=TS+TIANJIN&amp;voy=2608N" TargetMode="External"/><Relationship Id="rId13" Type="http://schemas.openxmlformats.org/officeDocument/2006/relationships/hyperlink" Target="https://service.esco.co.th/BerthSchedule" TargetMode="External"/><Relationship Id="rId109" Type="http://schemas.openxmlformats.org/officeDocument/2006/relationships/hyperlink" Target="https://bkktslines.sharepoint.com/:b:/s/SALES-CS/IQA6Ug38V-FWQ4pyRGfTAXj9AfCq3WPVY-n9u6T2ttjiv3g?e=EvqODI" TargetMode="External"/><Relationship Id="rId260" Type="http://schemas.openxmlformats.org/officeDocument/2006/relationships/hyperlink" Target="https://bkktslines.sharepoint.com/:b:/s/SALES-CS/IQDJ6ifFsyT2SqoL9zxXl5TVAQBlBR4Nsi37JhSnaEEW1gk?e=PJqvfk" TargetMode="External"/><Relationship Id="rId281" Type="http://schemas.openxmlformats.org/officeDocument/2006/relationships/hyperlink" Target="https://www.lcit.com/vessel?vsl=TS+CHIBA&amp;voy=2621N" TargetMode="External"/><Relationship Id="rId34" Type="http://schemas.openxmlformats.org/officeDocument/2006/relationships/hyperlink" Target="https://bkktslines.sharepoint.com/:b:/s/SALES-CS/IQD6SYx_AHilS6CIjp656ettAUTKX_mbgtRFsghbkVaEYEY?e=RgpbSd" TargetMode="External"/><Relationship Id="rId55" Type="http://schemas.openxmlformats.org/officeDocument/2006/relationships/hyperlink" Target="https://bkktslines.sharepoint.com/:b:/s/SALES-CS/IQBLEf1r6SgYSY0qI5EYRJoNAcP5eylmpuPVyt_TZyAn8DA?e=cS4gAt" TargetMode="External"/><Relationship Id="rId76" Type="http://schemas.openxmlformats.org/officeDocument/2006/relationships/hyperlink" Target="https://bkktslines.sharepoint.com/:b:/s/SALES-CS/IQDfX6j5h9nbT61bEoRSH97iAcdKz27y08jGNRGNC9wpTG4?e=1dMQ9D" TargetMode="External"/><Relationship Id="rId97" Type="http://schemas.openxmlformats.org/officeDocument/2006/relationships/hyperlink" Target="https://www.lcit.com/vessel?vsl=MATOYA+BAY&amp;voy=0N80JN1NC" TargetMode="External"/><Relationship Id="rId120" Type="http://schemas.openxmlformats.org/officeDocument/2006/relationships/hyperlink" Target="https://online.hutchisonports.co.th/hptpcs/f?p=114:17:4433613527740:::::" TargetMode="External"/><Relationship Id="rId141" Type="http://schemas.openxmlformats.org/officeDocument/2006/relationships/hyperlink" Target="https://bkktslines.sharepoint.com/:b:/s/SALES-CS/IQDV6fnUmLuvSLZAeYM8eawWAc8T3VFY6eq_kBiJYVvCwEQ?e=SSNIKA" TargetMode="External"/><Relationship Id="rId7" Type="http://schemas.openxmlformats.org/officeDocument/2006/relationships/hyperlink" Target="https://www.lcit.com/vessel?vsl=HANSA+HOMBURG&amp;voy=0QIMIN1NC" TargetMode="External"/><Relationship Id="rId162" Type="http://schemas.openxmlformats.org/officeDocument/2006/relationships/hyperlink" Target="https://bkktslines.sharepoint.com/:b:/s/SALES-CS/IQCbZ3eMGx-LRZqsLdjoo5GFAd83q8a5bgILLbL78-n3_PY?e=euuVPu" TargetMode="External"/><Relationship Id="rId183" Type="http://schemas.openxmlformats.org/officeDocument/2006/relationships/hyperlink" Target="https://www.lcit.com/vessel?vsl=TS+OSAKA&amp;voy=2608N" TargetMode="External"/><Relationship Id="rId218" Type="http://schemas.openxmlformats.org/officeDocument/2006/relationships/hyperlink" Target="https://bkktslines.sharepoint.com/:b:/s/SALES-CS/IQAuA4RLPftLSLlwAQFMgctjAe9f4srCAtxDvVbLD62kbKM?e=csUQuz" TargetMode="External"/><Relationship Id="rId239" Type="http://schemas.openxmlformats.org/officeDocument/2006/relationships/hyperlink" Target="https://www.lcit.com/vessel?vsl=TS+OSAKA&amp;voy=2610N" TargetMode="External"/><Relationship Id="rId250" Type="http://schemas.openxmlformats.org/officeDocument/2006/relationships/hyperlink" Target="https://bkktslines.sharepoint.com/:b:/s/SALES-CS/IQCXYQy0RNacR6P1FdDxJfCTARVyvtLSYgcoB7Km1ktxeiY?e=zrNXll" TargetMode="External"/><Relationship Id="rId271" Type="http://schemas.openxmlformats.org/officeDocument/2006/relationships/hyperlink" Target="https://bkktslines.sharepoint.com/:b:/s/SALES-CS/IQBOP1nNQ7Z4RqjmjlKBeqvOAbY0S-ATqyNXAl_AQFxU1-A?e=nv7ifS" TargetMode="External"/><Relationship Id="rId292" Type="http://schemas.openxmlformats.org/officeDocument/2006/relationships/hyperlink" Target="https://online.hutchisonports.co.th/hptpcs/r/hpt_ws/hpt-super-app114/vessel-schedule" TargetMode="External"/><Relationship Id="rId24" Type="http://schemas.openxmlformats.org/officeDocument/2006/relationships/hyperlink" Target="https://www.lcit.com/vessel?vsl=KMTC+GWANGYANG&amp;voy=2601N" TargetMode="External"/><Relationship Id="rId45" Type="http://schemas.openxmlformats.org/officeDocument/2006/relationships/hyperlink" Target="https://service.esco.co.th/BerthSchedule" TargetMode="External"/><Relationship Id="rId66" Type="http://schemas.openxmlformats.org/officeDocument/2006/relationships/hyperlink" Target="https://bkktslines.sharepoint.com/:b:/s/SALES-CS/IQC923YScTD1R5dfrduZ3pKlAaBgGUqijjY_tM8Bg4qy7mk?e=Gl43d7" TargetMode="External"/><Relationship Id="rId87" Type="http://schemas.openxmlformats.org/officeDocument/2006/relationships/hyperlink" Target="https://bkktslines.sharepoint.com/:b:/s/SALES-CS/IQDWh9KVWi3NQpVqNgz1vIryATW_QXpzIU9anpn5oqi9rdE?e=M9diVR" TargetMode="External"/><Relationship Id="rId110" Type="http://schemas.openxmlformats.org/officeDocument/2006/relationships/hyperlink" Target="https://www.lcit.com/vessel?vsl=SKY+SUNSHINE&amp;voy=2604N" TargetMode="External"/><Relationship Id="rId131" Type="http://schemas.openxmlformats.org/officeDocument/2006/relationships/hyperlink" Target="https://bkktslines.sharepoint.com/:b:/s/SALES-CS/IQAJqRyFs9U5R4rBqyI7YCg0AceL4F4IGs1b6q2Xze8rS6c?e=QNAWdb" TargetMode="External"/><Relationship Id="rId152" Type="http://schemas.openxmlformats.org/officeDocument/2006/relationships/hyperlink" Target="https://www.lcit.com/vessel?vsl=TS+TIANJIN&amp;voy=2605N" TargetMode="External"/><Relationship Id="rId173" Type="http://schemas.openxmlformats.org/officeDocument/2006/relationships/hyperlink" Target="https://bkktslines.sharepoint.com/:b:/s/SALES-CS/IQBWi4ny7BZLS7eriaJg0_S1AUcjDm51UXGvu7S7Srrt7SM?e=uFuJ3S" TargetMode="External"/><Relationship Id="rId194" Type="http://schemas.openxmlformats.org/officeDocument/2006/relationships/hyperlink" Target="https://online.hutchisonports.co.th/hptpcs/f?p=114:17:132438998109:::::" TargetMode="External"/><Relationship Id="rId208" Type="http://schemas.openxmlformats.org/officeDocument/2006/relationships/hyperlink" Target="https://bkktslines.sharepoint.com/:b:/s/SALES-CS/IQAzfVnZmh9oR6aC9YiI72TQAYYx5MfVmKTOp6OrZU28YhM?e=CmhXii" TargetMode="External"/><Relationship Id="rId229" Type="http://schemas.openxmlformats.org/officeDocument/2006/relationships/hyperlink" Target="https://bkktslines.sharepoint.com/:b:/s/SALES-CS/IQAjF5YL6WK3SJEWSzWjQsEIAdGco3swX_30-XPzw-VZAjw?e=M0jkIB" TargetMode="External"/><Relationship Id="rId240" Type="http://schemas.openxmlformats.org/officeDocument/2006/relationships/hyperlink" Target="https://bkktslines.sharepoint.com/:b:/s/SALES-CS/IQDPKWe2DiiLQ7xsEZXyZlqmAZWZ0BkweGuS3zoOgZqFm1w?e=p7Nckw" TargetMode="External"/><Relationship Id="rId261" Type="http://schemas.openxmlformats.org/officeDocument/2006/relationships/hyperlink" Target="https://www.lcit.com/vessel?vsl=TS+OSAKA&amp;voy=2611N" TargetMode="External"/><Relationship Id="rId14" Type="http://schemas.openxmlformats.org/officeDocument/2006/relationships/hyperlink" Target="https://bkktslines.sharepoint.com/:b:/s/SALES-CS/IQAD13W1RXFNTLfUU4LA_kUSAS0FTZFjzwBXzzmMecanlpQ?e=guqJiC" TargetMode="External"/><Relationship Id="rId35" Type="http://schemas.openxmlformats.org/officeDocument/2006/relationships/hyperlink" Target="https://service.esco.co.th/BerthSchedule" TargetMode="External"/><Relationship Id="rId56" Type="http://schemas.openxmlformats.org/officeDocument/2006/relationships/hyperlink" Target="https://bkktslines.sharepoint.com/:b:/s/SALES-CS/IQAQqD1SlbbiQ5yOWFFCSVm4AfGkA6dIqI66p6VuxJHjG80?e=KALb1C" TargetMode="External"/><Relationship Id="rId77" Type="http://schemas.openxmlformats.org/officeDocument/2006/relationships/hyperlink" Target="https://www.lcit.com/vessel?vsl=SAWASDEE+MIMOSA&amp;voy=2603N" TargetMode="External"/><Relationship Id="rId100" Type="http://schemas.openxmlformats.org/officeDocument/2006/relationships/hyperlink" Target="https://bkktslines.sharepoint.com/:b:/s/SALES-CS/IQDMrGH4S20JS65c-vOV_i-rAQ7O0IiOGlhVbN1V9YsFcXk?e=I7ZMGS" TargetMode="External"/><Relationship Id="rId282" Type="http://schemas.openxmlformats.org/officeDocument/2006/relationships/hyperlink" Target="https://bkktslines.sharepoint.com/:b:/s/SALES-CS/IQDCqj7s0p05RLLC7godMRFYAdJSiL8tTsXURl2_5OLPGmw?e=oIdcBq" TargetMode="External"/><Relationship Id="rId8" Type="http://schemas.openxmlformats.org/officeDocument/2006/relationships/hyperlink" Target="https://bkktslines.sharepoint.com/:b:/s/SALES-CS/IQAuxh51JDnpRL8axc7sr-0OAT1fPl6tyAAdRlAYe2L0jQ4?e=5Oi7wL" TargetMode="External"/><Relationship Id="rId98" Type="http://schemas.openxmlformats.org/officeDocument/2006/relationships/hyperlink" Target="https://bkktslines.sharepoint.com/:b:/s/SALES-CS/IQBKzYcLSAkISYi6m97I1y15AabJnZcaAmy_pgcxtQKcAx8?e=ddUvyJ" TargetMode="External"/><Relationship Id="rId121" Type="http://schemas.openxmlformats.org/officeDocument/2006/relationships/hyperlink" Target="https://www.lcit.com/vessel?vsl=ZHONG+GU+XIA+MEN&amp;voy=2604N" TargetMode="External"/><Relationship Id="rId142" Type="http://schemas.openxmlformats.org/officeDocument/2006/relationships/hyperlink" Target="https://service.esco.co.th/BerthSchedule" TargetMode="External"/><Relationship Id="rId163" Type="http://schemas.openxmlformats.org/officeDocument/2006/relationships/hyperlink" Target="https://bkktslines.sharepoint.com/:b:/s/SALES-CS/IQDf5HKyHWFwQKcVOkG2AhY5ASJi3wcJcU38ej5M7Zn48Dk?e=p3KW4k" TargetMode="External"/><Relationship Id="rId184" Type="http://schemas.openxmlformats.org/officeDocument/2006/relationships/hyperlink" Target="https://bkktslines.sharepoint.com/:b:/s/SALES-CS/IQAZbjBXR3AYQ4CUNMkjb6YfAWop-gXZWjdIsQMwW-s5nC4?e=XPl9v7https://bkktslines.sharepoint.com/:b:/s/SALES-CS/IQAZbjBXR3AYQ4CUNMkjb6YfAWop-gXZWjdIsQMwW-s5nC4?e=XPl9v7" TargetMode="External"/><Relationship Id="rId219" Type="http://schemas.openxmlformats.org/officeDocument/2006/relationships/hyperlink" Target="https://service.esco.co.th/BerthSchedule" TargetMode="External"/><Relationship Id="rId230" Type="http://schemas.openxmlformats.org/officeDocument/2006/relationships/hyperlink" Target="https://bkktslines.sharepoint.com/:b:/s/SALES-CS/IQDsPAr_E0ULR6IP72nfzvyyAbz8tbfI0WfP1cMt74QIzO8?e=Aa23LU" TargetMode="External"/><Relationship Id="rId251" Type="http://schemas.openxmlformats.org/officeDocument/2006/relationships/hyperlink" Target="https://www.lcit.com/vessel?vsl=KMTC+TOKYO&amp;voy=2609N" TargetMode="External"/><Relationship Id="rId25" Type="http://schemas.openxmlformats.org/officeDocument/2006/relationships/hyperlink" Target="https://bkktslines.sharepoint.com/:b:/s/SALES-CS/IQAwAlbrvoBkRYWB9xxNhC8EAbiGy9Elxdy4uUeCjzKWoWU?e=3ucy3b" TargetMode="External"/><Relationship Id="rId46" Type="http://schemas.openxmlformats.org/officeDocument/2006/relationships/hyperlink" Target="https://www.lcit.com/vessel?vsl=TS+OSAKA&amp;voy=26002N" TargetMode="External"/><Relationship Id="rId67" Type="http://schemas.openxmlformats.org/officeDocument/2006/relationships/hyperlink" Target="https://www.lcit.com/vessel?vsl=LITTLE+DOLPHIN&amp;voy=2603N" TargetMode="External"/><Relationship Id="rId272" Type="http://schemas.openxmlformats.org/officeDocument/2006/relationships/hyperlink" Target="https://online.hutchisonports.co.th/hptpcs/r/hpt_ws/hpt-super-app114/vessel-schedule" TargetMode="External"/><Relationship Id="rId293" Type="http://schemas.openxmlformats.org/officeDocument/2006/relationships/hyperlink" Target="https://bkktslines.sharepoint.com/:b:/s/SALES-CS/IQCcgyV1eJQWSa5NNI6XjF-4AQ6tDCp456h_pT8TsxEFOUA?e=YYBV60" TargetMode="External"/><Relationship Id="rId88" Type="http://schemas.openxmlformats.org/officeDocument/2006/relationships/hyperlink" Target="https://www.lcit.com/vessel?vsl=ZHONG+GU+XIA+MEN&amp;voy=26003N" TargetMode="External"/><Relationship Id="rId111" Type="http://schemas.openxmlformats.org/officeDocument/2006/relationships/hyperlink" Target="https://bkktslines.sharepoint.com/:b:/s/SALES-CS/IQDo9H3XetXCS6YZwxQsCBgOAZ-8Mm8otuPpHUAmq5-ovsE?e=iOZ1Jc" TargetMode="External"/><Relationship Id="rId132" Type="http://schemas.openxmlformats.org/officeDocument/2006/relationships/hyperlink" Target="https://service.esco.co.th/BerthSchedule" TargetMode="External"/><Relationship Id="rId153" Type="http://schemas.openxmlformats.org/officeDocument/2006/relationships/hyperlink" Target="https://bkktslines.sharepoint.com/:b:/s/SALES-CS/IQAnpRR3ko7uTqanv4zIy6nzAShma0eLMk8QLLrPATH7LbQ?e=QtIz3B" TargetMode="External"/><Relationship Id="rId174" Type="http://schemas.openxmlformats.org/officeDocument/2006/relationships/hyperlink" Target="https://www.lcit.com/vessel?vsl=CNC+LEOPARD&amp;voy=0N811N1NC" TargetMode="External"/><Relationship Id="rId195" Type="http://schemas.openxmlformats.org/officeDocument/2006/relationships/hyperlink" Target="https://bkktslines.sharepoint.com/:b:/s/SALES-CS/IQDNjQ-GkSaqTbzM8vW5R33vASouA4u3sQyVpL4vK6Pv0hE?e=K3DNZZ" TargetMode="External"/><Relationship Id="rId209" Type="http://schemas.openxmlformats.org/officeDocument/2006/relationships/hyperlink" Target="https://service.esco.co.th/BerthSchedule" TargetMode="External"/><Relationship Id="rId220" Type="http://schemas.openxmlformats.org/officeDocument/2006/relationships/hyperlink" Target="https://bkktslines.sharepoint.com/:b:/s/SALES-CS/IQDrVc8Myb3lRaG-oUQjQlPfAakRuGaYYTf6VDQf2F9OIsc?e=ICkTi7" TargetMode="External"/><Relationship Id="rId241" Type="http://schemas.openxmlformats.org/officeDocument/2006/relationships/hyperlink" Target="https://bkktslines.sharepoint.com/:b:/s/SALES-CS/IQBM_CttjWpnR7iDAD4H3qGvAQApqkR4ZMJao7fH7tykQbI?e=E1uMdF" TargetMode="External"/><Relationship Id="rId15" Type="http://schemas.openxmlformats.org/officeDocument/2006/relationships/hyperlink" Target="https://www.lcit.com/vessel?vsl=SHUN+LONG&amp;voy=0QIMKN1NC" TargetMode="External"/><Relationship Id="rId36" Type="http://schemas.openxmlformats.org/officeDocument/2006/relationships/hyperlink" Target="https://bkktslines.sharepoint.com/:b:/s/SALES-CS/IQBd-nPyQWTCTqEI_LmXiHeNATJ56t-xf6MyNQFQA955gYk?e=ljnIZg" TargetMode="External"/><Relationship Id="rId57" Type="http://schemas.openxmlformats.org/officeDocument/2006/relationships/hyperlink" Target="https://www.lcit.com/vessel?vsl=SAWASDEE+MIMOSA&amp;voy=2602N" TargetMode="External"/><Relationship Id="rId262" Type="http://schemas.openxmlformats.org/officeDocument/2006/relationships/hyperlink" Target="https://bkktslines.sharepoint.com/:b:/s/SALES-CS/IQClneYT4Z4jSLjjF3LtXk2VAXn7Eue1gL40UbbMrbSYRX4?e=UgSufe" TargetMode="External"/><Relationship Id="rId283" Type="http://schemas.openxmlformats.org/officeDocument/2006/relationships/hyperlink" Target="https://www.lcit.com/vessel?vsl=SAWASDEE+DENEB&amp;voy=2610N" TargetMode="External"/><Relationship Id="rId78" Type="http://schemas.openxmlformats.org/officeDocument/2006/relationships/hyperlink" Target="https://bkktslines.sharepoint.com/:b:/s/SALES-CS/IQA8H5xEdWElRo7YXSa7gyJ3AWEPBZuSRQBQBXHMBVg3LK0?e=VdifTn" TargetMode="External"/><Relationship Id="rId99" Type="http://schemas.openxmlformats.org/officeDocument/2006/relationships/hyperlink" Target="https://service.esco.co.th/BerthSchedule" TargetMode="External"/><Relationship Id="rId101" Type="http://schemas.openxmlformats.org/officeDocument/2006/relationships/hyperlink" Target="https://www.lcit.com/vessel?vsl=TS+OSAKA&amp;voy=26005N" TargetMode="External"/><Relationship Id="rId122" Type="http://schemas.openxmlformats.org/officeDocument/2006/relationships/hyperlink" Target="https://bkktslines.sharepoint.com/:b:/s/SALES-CS/IQCgZ7glP6NcTpo5YYstvSwJAaP5HwzSWJ_87wpFKQARyKw?e=UhQvqa" TargetMode="External"/><Relationship Id="rId143" Type="http://schemas.openxmlformats.org/officeDocument/2006/relationships/hyperlink" Target="https://bkktslines.sharepoint.com/:b:/s/SALES-CS/IQBV9crm7V-oSoowHBb8lZLWAYZyD-dxgmSooh1R32wenYQ?e=PMoVSC" TargetMode="External"/><Relationship Id="rId164" Type="http://schemas.openxmlformats.org/officeDocument/2006/relationships/hyperlink" Target="https://www.lcit.com/vessel?vsl=KMTC+TOKYO&amp;voy=2606N" TargetMode="External"/><Relationship Id="rId185" Type="http://schemas.openxmlformats.org/officeDocument/2006/relationships/hyperlink" Target="https://www.lcit.com/vessel?vsl=MATOYA+BAY&amp;voy=0N813N1NC" TargetMode="External"/><Relationship Id="rId9" Type="http://schemas.openxmlformats.org/officeDocument/2006/relationships/hyperlink" Target="https://www.lcit.com/vessel?vsl=LITTLE+DOLPHIN&amp;voy=2518N" TargetMode="External"/><Relationship Id="rId210" Type="http://schemas.openxmlformats.org/officeDocument/2006/relationships/hyperlink" Target="https://bkktslines.sharepoint.com/:b:/s/SALES-CS/IQA35FX7_7bTT7lHJG6jJaY6ARg4XkTkR8n_TZD_1vBuKPI?e=yyisrb" TargetMode="External"/><Relationship Id="rId26" Type="http://schemas.openxmlformats.org/officeDocument/2006/relationships/hyperlink" Target="https://www.lcit.com/vessel?vsl=TS+OSAKA&amp;voy=26001N" TargetMode="External"/><Relationship Id="rId231" Type="http://schemas.openxmlformats.org/officeDocument/2006/relationships/hyperlink" Target="https://www.lcit.com/vessel?vsl=LITTLE+DOLPHIN&amp;voy=2609N" TargetMode="External"/><Relationship Id="rId252" Type="http://schemas.openxmlformats.org/officeDocument/2006/relationships/hyperlink" Target="https://bkktslines.sharepoint.com/:b:/s/SALES-CS/IQCI1MdTfGunSphDnNkLTZL8AccJsRjcvwRd9DjynKJhJ4g?e=vp9Ucx" TargetMode="External"/><Relationship Id="rId273" Type="http://schemas.openxmlformats.org/officeDocument/2006/relationships/hyperlink" Target="https://bkktslines.sharepoint.com/:b:/s/SALES-CS/IQCb588mBAgmQ70gc9L5M477AdEPkAXlcH0so6GiB2lvn74?e=wAtryz" TargetMode="External"/><Relationship Id="rId294" Type="http://schemas.openxmlformats.org/officeDocument/2006/relationships/hyperlink" Target="https://www.lcit.com/vessel?vsl=LITTLE+DOLPHIN&amp;voy=2612N" TargetMode="External"/><Relationship Id="rId47" Type="http://schemas.openxmlformats.org/officeDocument/2006/relationships/hyperlink" Target="https://bkktslines.sharepoint.com/:b:/s/SALES-CS/IQBF2BlsF8EBSYLhsGZEKwDKAYHSHdmQ7_Upx5u4AFuN41w?e=PMMRbR" TargetMode="External"/><Relationship Id="rId68" Type="http://schemas.openxmlformats.org/officeDocument/2006/relationships/hyperlink" Target="https://bkktslines.sharepoint.com/:b:/s/SALES-CS/IQA9PkWrgFcLT6XnEkQB92FNAVcsW2pXbrqzxKeBrZU5HzI?e=uT9ZuH" TargetMode="External"/><Relationship Id="rId89" Type="http://schemas.openxmlformats.org/officeDocument/2006/relationships/hyperlink" Target="https://bkktslines.sharepoint.com/:b:/s/SALES-CS/IQB_owzyH70CR47c7eji2B2SAel33sUftWZQ7FECc4GooFI?e=HIBmcI" TargetMode="External"/><Relationship Id="rId112" Type="http://schemas.openxmlformats.org/officeDocument/2006/relationships/hyperlink" Target="https://www.lcit.com/vessel?vsl=CNC+JAGUAR&amp;voy=0N80NN1NC" TargetMode="External"/><Relationship Id="rId133" Type="http://schemas.openxmlformats.org/officeDocument/2006/relationships/hyperlink" Target="https://bkktslines.sharepoint.com/:b:/s/SALES-CS/IQCnzz3YshUCRLVvNaATvL8_AYKWCgUrxQGPc1GrCEdVIoE?e=6OV5FK" TargetMode="External"/><Relationship Id="rId154" Type="http://schemas.openxmlformats.org/officeDocument/2006/relationships/hyperlink" Target="https://www.lcit.com/vessel?vsl=TS+OSAKA&amp;voy=2607N" TargetMode="External"/><Relationship Id="rId175" Type="http://schemas.openxmlformats.org/officeDocument/2006/relationships/hyperlink" Target="https://bkktslines.sharepoint.com/:b:/s/SALES-CS/IQB8d5NNOThdR77u9Ez3nzHBAYww9xTfk8c4pNeJu35qJMs?e=XEfqVq" TargetMode="External"/><Relationship Id="rId196" Type="http://schemas.openxmlformats.org/officeDocument/2006/relationships/hyperlink" Target="https://www.lcit.com/vessel?vsl=KMTC+TOKYO&amp;voy=2607N" TargetMode="External"/><Relationship Id="rId200" Type="http://schemas.openxmlformats.org/officeDocument/2006/relationships/hyperlink" Target="https://www.lcit.com/vessel?vsl=KMTC+GWANGYANG&amp;voy=2607N" TargetMode="External"/><Relationship Id="rId16" Type="http://schemas.openxmlformats.org/officeDocument/2006/relationships/hyperlink" Target="https://bkktslines.sharepoint.com/:b:/s/SALES-CS/IQBcQh9ZT1FmSYqXUnlYRtUfAe--9x_cv-3sybKjF0t3B5E?e=2GZWWZ" TargetMode="External"/><Relationship Id="rId221" Type="http://schemas.openxmlformats.org/officeDocument/2006/relationships/hyperlink" Target="https://bkktslines.sharepoint.com/:b:/s/SALES-CS/IQBMZ3VMr5iMS7SguwAXhLnhAcr-z7Q5z4S0ojl-ymrzaU4?e=V6I8cH" TargetMode="External"/><Relationship Id="rId242" Type="http://schemas.openxmlformats.org/officeDocument/2006/relationships/hyperlink" Target="https://service.esco.co.th/BerthSchedule" TargetMode="External"/><Relationship Id="rId263" Type="http://schemas.openxmlformats.org/officeDocument/2006/relationships/hyperlink" Target="https://online.hutchisonports.co.th/hptpcs/r/hpt_ws/hpt-super-app114/vessel-schedule" TargetMode="External"/><Relationship Id="rId284" Type="http://schemas.openxmlformats.org/officeDocument/2006/relationships/hyperlink" Target="https://bkktslines.sharepoint.com/:b:/s/SALES-CS/IQCHLfUADpFGTrd4nOP3Mn_iAXCCF96uVdABUyknAjFgNRo?e=NCupw1" TargetMode="External"/><Relationship Id="rId37" Type="http://schemas.openxmlformats.org/officeDocument/2006/relationships/hyperlink" Target="https://bkktslines.sharepoint.com/:b:/s/SALES-CS/IQD3TwTpk7E-Sazhkl--ytf1ASaPXeTodPQuVSe68_Zstz4?e=semFYi" TargetMode="External"/><Relationship Id="rId58" Type="http://schemas.openxmlformats.org/officeDocument/2006/relationships/hyperlink" Target="https://bkktslines.sharepoint.com/:b:/s/SALES-CS/IQBUnwF__ZiARoWdqCGAX6YKAa__rRCgYgr8DrdIvkfQQV8?e=8gph1I" TargetMode="External"/><Relationship Id="rId79" Type="http://schemas.openxmlformats.org/officeDocument/2006/relationships/hyperlink" Target="https://www.lcit.com/vessel?vsl=TS+OSAKA&amp;voy=26004N" TargetMode="External"/><Relationship Id="rId102" Type="http://schemas.openxmlformats.org/officeDocument/2006/relationships/hyperlink" Target="https://bkktslines.sharepoint.com/:b:/s/SALES-CS/IQADzZlHswVSRa_v5O_-53MKAektHGbQyjKVpJs2gBUILqs?e=EGDZim" TargetMode="External"/><Relationship Id="rId123" Type="http://schemas.openxmlformats.org/officeDocument/2006/relationships/hyperlink" Target="https://service.esco.co.th/BerthSchedule" TargetMode="External"/><Relationship Id="rId144" Type="http://schemas.openxmlformats.org/officeDocument/2006/relationships/hyperlink" Target="https://www.lcit.com/vessel?vsl=LITTLE+DOLPHIN&amp;voy=2606N" TargetMode="External"/><Relationship Id="rId90" Type="http://schemas.openxmlformats.org/officeDocument/2006/relationships/hyperlink" Target="https://service.esco.co.th/BerthSchedule" TargetMode="External"/><Relationship Id="rId165" Type="http://schemas.openxmlformats.org/officeDocument/2006/relationships/hyperlink" Target="https://bkktslines.sharepoint.com/:b:/s/SALES-CS/IQCMmw9tH5XFTrALDJ5Cwpd-AdN2egJ8Sz0BWu9-p7lxrfE?e=LVzIoC" TargetMode="External"/><Relationship Id="rId186" Type="http://schemas.openxmlformats.org/officeDocument/2006/relationships/hyperlink" Target="https://bkktslines.sharepoint.com/:b:/s/SALES-CS/IQBcNZrN92ceQbBH_hF1A0Z4AZFvjiwxQp-qsqYFZdMIJRs?e=8gkhiE" TargetMode="External"/><Relationship Id="rId211" Type="http://schemas.openxmlformats.org/officeDocument/2006/relationships/hyperlink" Target="https://bkktslines.sharepoint.com/:b:/s/SALES-CS/IQDZqcfoh3BoRJCJqm2Fejp2AVIaZZLD15V9A7zrbUpV994?e=5WXvdb" TargetMode="External"/><Relationship Id="rId232" Type="http://schemas.openxmlformats.org/officeDocument/2006/relationships/hyperlink" Target="https://bkktslines.sharepoint.com/:b:/s/SALES-CS/IQCXi8x_5cI7SY8SzNCDsPd1AeijELyv5Hs6jdndq74V-4Y?e=fpFwEU" TargetMode="External"/><Relationship Id="rId253" Type="http://schemas.openxmlformats.org/officeDocument/2006/relationships/hyperlink" Target="https://online.hutchisonports.co.th/hptpcs/f?p=114:17:9478856950998:::::" TargetMode="External"/><Relationship Id="rId274" Type="http://schemas.openxmlformats.org/officeDocument/2006/relationships/hyperlink" Target="https://bkktslines.sharepoint.com/:b:/s/SALES-CS/IQBskWtN6GQ2Rp-gzOHy16B0AdJsIL0VPkw0RRKZXq5RMnI?e=pH9Tsh" TargetMode="External"/><Relationship Id="rId295" Type="http://schemas.openxmlformats.org/officeDocument/2006/relationships/drawing" Target="../drawings/drawing2.xml"/><Relationship Id="rId27" Type="http://schemas.openxmlformats.org/officeDocument/2006/relationships/hyperlink" Target="https://bkktslines.sharepoint.com/:b:/s/SALES-CS/IQD_MhWeLKI6TqnN47RFS_NzAU1TlDlVI5ORDHZyjzAZ0QI?e=e2IEuV" TargetMode="External"/><Relationship Id="rId48" Type="http://schemas.openxmlformats.org/officeDocument/2006/relationships/hyperlink" Target="https://service.esco.co.th/BerthSchedule" TargetMode="External"/><Relationship Id="rId69" Type="http://schemas.openxmlformats.org/officeDocument/2006/relationships/hyperlink" Target="https://service.esco.co.th/BerthSchedule" TargetMode="External"/><Relationship Id="rId113" Type="http://schemas.openxmlformats.org/officeDocument/2006/relationships/hyperlink" Target="https://service.esco.co.th/BerthSchedule" TargetMode="External"/><Relationship Id="rId134" Type="http://schemas.openxmlformats.org/officeDocument/2006/relationships/hyperlink" Target="https://bkktslines.sharepoint.com/:b:/s/SALES-CS/IQB-AT35g5dlS69ZOKAq7s4HAUtd7z0pKBigrNIznr-onUc?e=5Rppbk" TargetMode="External"/><Relationship Id="rId80" Type="http://schemas.openxmlformats.org/officeDocument/2006/relationships/hyperlink" Target="https://bkktslines.sharepoint.com/:b:/s/SALES-CS/IQAZsJF_KmxbRrzr4NcvWoR_ATFMAmqhFaL99Bt0dvZkDBI?e=2bidrw" TargetMode="External"/><Relationship Id="rId155" Type="http://schemas.openxmlformats.org/officeDocument/2006/relationships/hyperlink" Target="https://bkktslines.sharepoint.com/:b:/s/SALES-CS/IQBSPURW6JIKTp-TG9GJssD9AWMkmTYTUdFqhCRsdECLLe4?e=5UnC1j" TargetMode="External"/><Relationship Id="rId176" Type="http://schemas.openxmlformats.org/officeDocument/2006/relationships/hyperlink" Target="https://online.hutchisonports.co.th/hptpcs/f?p=114:17:132438998109:::::" TargetMode="External"/><Relationship Id="rId197" Type="http://schemas.openxmlformats.org/officeDocument/2006/relationships/hyperlink" Target="https://bkktslines.sharepoint.com/:b:/s/SALES-CS/IQDztp8tiX6hRLR7dZSbZyleASClyQXJJq5Teqn4Mbx_-Ec?e=2ydeOY" TargetMode="External"/><Relationship Id="rId201" Type="http://schemas.openxmlformats.org/officeDocument/2006/relationships/hyperlink" Target="https://bkktslines.sharepoint.com/:b:/s/SALES-CS/IQBmkIKxYgPzRoTIFwGN2gWTAdzyDcT-ICwLm5F6WE5DGCU?e=vDuLL3" TargetMode="External"/><Relationship Id="rId222" Type="http://schemas.openxmlformats.org/officeDocument/2006/relationships/hyperlink" Target="https://www.lcit.com/vessel?vsl=KMTC+TOKYO&amp;voy=2608N" TargetMode="External"/><Relationship Id="rId243" Type="http://schemas.openxmlformats.org/officeDocument/2006/relationships/hyperlink" Target="https://bkktslines.sharepoint.com/:b:/s/SALES-CS/IQDkcWEkUSYASoxZZvpjGXxvAZiav40KxF7ROhTjxPg9bVg?e=Amf2K1" TargetMode="External"/><Relationship Id="rId264" Type="http://schemas.openxmlformats.org/officeDocument/2006/relationships/hyperlink" Target="https://bkktslines.sharepoint.com/:b:/s/SALES-CS/IQD51QLUQ28iRKP2ZHglzBqCAR2A0z4x5aNYnca5WPiH_wk?e=WpMADX" TargetMode="External"/><Relationship Id="rId285" Type="http://schemas.openxmlformats.org/officeDocument/2006/relationships/hyperlink" Target="https://www.lcit.com/vessel?vsl=TS+SINGAPORE&amp;voy=2606W" TargetMode="External"/><Relationship Id="rId17" Type="http://schemas.openxmlformats.org/officeDocument/2006/relationships/hyperlink" Target="https://www.lcit.com/vessel?vsl=KMTC+POHANG&amp;voy=2516N" TargetMode="External"/><Relationship Id="rId38" Type="http://schemas.openxmlformats.org/officeDocument/2006/relationships/hyperlink" Target="https://www.lcit.com/vessel?vsl=SAWASDEE+MIMOSA&amp;voy=2601N" TargetMode="External"/><Relationship Id="rId59" Type="http://schemas.openxmlformats.org/officeDocument/2006/relationships/hyperlink" Target="https://www.lcit.com/vessel?vsl=KMTC+POHANG&amp;voy=2602N" TargetMode="External"/><Relationship Id="rId103" Type="http://schemas.openxmlformats.org/officeDocument/2006/relationships/hyperlink" Target="https://www.lcit.com/vessel?vsl=CNC+LEOPARD&amp;voy=0N80LN1NC" TargetMode="External"/><Relationship Id="rId124" Type="http://schemas.openxmlformats.org/officeDocument/2006/relationships/hyperlink" Target="https://bkktslines.sharepoint.com/:b:/s/SALES-CS/IQBlYw0LJ-NSQYgNWRlQrjGpAcTyNZUIaVuWdO_RsVlItck?e=sYY4ue" TargetMode="External"/><Relationship Id="rId70" Type="http://schemas.openxmlformats.org/officeDocument/2006/relationships/hyperlink" Target="https://bkktslines.sharepoint.com/:b:/s/SALES-CS/IQB99ZvPEOu9QYhcr42A7Bj8AVbwrXa24vPrM1qqYbT6zPc?e=CuSxq1" TargetMode="External"/><Relationship Id="rId91" Type="http://schemas.openxmlformats.org/officeDocument/2006/relationships/hyperlink" Target="https://bkktslines.sharepoint.com/:b:/s/SALES-CS/IQBA52X-Ff6eTr-4J4Gb5XI9AYO7rHKA5r4-puYsgJX5Jdg?e=rc9jzV" TargetMode="External"/><Relationship Id="rId145" Type="http://schemas.openxmlformats.org/officeDocument/2006/relationships/hyperlink" Target="https://bkktslines.sharepoint.com/:b:/s/SALES-CS/IQBe4vKSOPI1QIns7dK0D6RwAQLp4S1qX4ZKDQnrKgxFXE8?e=hzAwyx" TargetMode="External"/><Relationship Id="rId166" Type="http://schemas.openxmlformats.org/officeDocument/2006/relationships/hyperlink" Target="https://online.hutchisonports.co.th/hptpcs/f?p=114:17:132438998109:::::" TargetMode="External"/><Relationship Id="rId187" Type="http://schemas.openxmlformats.org/officeDocument/2006/relationships/hyperlink" Target="https://online.hutchisonports.co.th/hptpcs/f?p=114:17:132438998109:::::" TargetMode="External"/><Relationship Id="rId1" Type="http://schemas.openxmlformats.org/officeDocument/2006/relationships/hyperlink" Target="https://docs.google.com/spreadsheets/d/1Ues3aYdZTjxbRUprd2Z463lhzBkcAWNA45DPBLEoTgs/edit?gid=2130362019" TargetMode="External"/><Relationship Id="rId212" Type="http://schemas.openxmlformats.org/officeDocument/2006/relationships/hyperlink" Target="https://www.lcit.com/vessel?vsl=TS+OSAKA&amp;voy=2609N" TargetMode="External"/><Relationship Id="rId233" Type="http://schemas.openxmlformats.org/officeDocument/2006/relationships/hyperlink" Target="https://online.hutchisonports.co.th/hptpcs/f?p=114:17:13359787761674:::::" TargetMode="External"/><Relationship Id="rId254" Type="http://schemas.openxmlformats.org/officeDocument/2006/relationships/hyperlink" Target="https://online.hutchisonports.co.th/hptpcs/f?p=114:17:9478856950998:::::" TargetMode="External"/><Relationship Id="rId28" Type="http://schemas.openxmlformats.org/officeDocument/2006/relationships/hyperlink" Target="https://service.esco.co.th/BerthSchedule" TargetMode="External"/><Relationship Id="rId49" Type="http://schemas.openxmlformats.org/officeDocument/2006/relationships/hyperlink" Target="https://bkktslines.sharepoint.com/:b:/s/SALES-CS/IQCtGYBzOe-0RqgHAZUmb4cpARgXHkLby1GQd9dAfkCKqoo?e=w2QMIY" TargetMode="External"/><Relationship Id="rId114" Type="http://schemas.openxmlformats.org/officeDocument/2006/relationships/hyperlink" Target="https://bkktslines.sharepoint.com/:b:/s/SALES-CS/IQBXlvzw7rAiQ5qJrXg-GLpdAWbKSiKPodFtFgLgNlyojQQ?e=oJMijV" TargetMode="External"/><Relationship Id="rId275" Type="http://schemas.openxmlformats.org/officeDocument/2006/relationships/hyperlink" Target="https://www.lcit.com/vessel?vsl=LITTLE+DOLPHIN&amp;voy=2611N" TargetMode="External"/><Relationship Id="rId296" Type="http://schemas.openxmlformats.org/officeDocument/2006/relationships/vmlDrawing" Target="../drawings/vmlDrawing1.vml"/><Relationship Id="rId60" Type="http://schemas.openxmlformats.org/officeDocument/2006/relationships/hyperlink" Target="https://bkktslines.sharepoint.com/:b:/s/SALES-CS/IQD9FIugt4o9SJ-adnTX1sqUAc6zpRzTM2fvbxuwBhm6huw?e=FK6fcZ" TargetMode="External"/><Relationship Id="rId81" Type="http://schemas.openxmlformats.org/officeDocument/2006/relationships/hyperlink" Target="https://service.esco.co.th/BerthSchedule" TargetMode="External"/><Relationship Id="rId135" Type="http://schemas.openxmlformats.org/officeDocument/2006/relationships/hyperlink" Target="https://www.lcit.com/vessel?vsl=KMTC+TOKYO&amp;voy=2605N" TargetMode="External"/><Relationship Id="rId156" Type="http://schemas.openxmlformats.org/officeDocument/2006/relationships/hyperlink" Target="https://www.lcit.com/vessel?vsl=ZHONG+GU+XIA+MEN&amp;voy=2605N" TargetMode="External"/><Relationship Id="rId177" Type="http://schemas.openxmlformats.org/officeDocument/2006/relationships/hyperlink" Target="https://online.hutchisonports.co.th/hptpcs/f?p=114:17:112508547449089:::::" TargetMode="External"/><Relationship Id="rId198" Type="http://schemas.openxmlformats.org/officeDocument/2006/relationships/hyperlink" Target="https://online.hutchisonports.co.th/hptpcs/f?p=114:17:1190016348205:::::" TargetMode="External"/><Relationship Id="rId202" Type="http://schemas.openxmlformats.org/officeDocument/2006/relationships/hyperlink" Target="https://service.esco.co.th/BerthSchedule" TargetMode="External"/><Relationship Id="rId223" Type="http://schemas.openxmlformats.org/officeDocument/2006/relationships/hyperlink" Target="https://bkktslines.sharepoint.com/:b:/s/SALES-CS/IQB9ld67GRkKSZM8F8UbiRjBAcT8p6hRCRYbxOCQ3n_JVLs?e=GtVaUh" TargetMode="External"/><Relationship Id="rId244" Type="http://schemas.openxmlformats.org/officeDocument/2006/relationships/hyperlink" Target="https://www.lcit.com/vessel?vsl=SAWASDEE+MIMOSA&amp;voy=2608N" TargetMode="External"/><Relationship Id="rId18" Type="http://schemas.openxmlformats.org/officeDocument/2006/relationships/hyperlink" Target="https://bkktslines.sharepoint.com/:b:/s/SALES-CS/IQC9VcHtvpg3RKjsgcxhkzJTAevaf6f8ji2qQeJRhO4kOYo?e=1kUL0T" TargetMode="External"/><Relationship Id="rId39" Type="http://schemas.openxmlformats.org/officeDocument/2006/relationships/hyperlink" Target="https://bkktslines.sharepoint.com/:b:/s/SALES-CS/IQACvzPipA-kSJQbG8uJMZbxAa92a20v6LEz23gTTSvtPI4?e=jE7cly" TargetMode="External"/><Relationship Id="rId265" Type="http://schemas.openxmlformats.org/officeDocument/2006/relationships/hyperlink" Target="https://bkktslines.sharepoint.com/:b:/s/SALES-CS/IQBPkcbTFpOET47-oTBlPXU0ARyAJobRTQTTbyqsDH_JZIo?e=Nk7Wl0" TargetMode="External"/><Relationship Id="rId286" Type="http://schemas.openxmlformats.org/officeDocument/2006/relationships/hyperlink" Target="https://bkktslines.sharepoint.com/:b:/s/SALES-CS/IQAmUaMRyEPWRIYJCG9hlDIXAV--VsDeq7ZKFeNxavcKlMc?e=xnMUty" TargetMode="External"/><Relationship Id="rId50" Type="http://schemas.openxmlformats.org/officeDocument/2006/relationships/hyperlink" Target="https://www.lcit.com/vessel?vsl=KMTC%20GWANGYANG&amp;voy=2602N" TargetMode="External"/><Relationship Id="rId104" Type="http://schemas.openxmlformats.org/officeDocument/2006/relationships/hyperlink" Target="https://bkktslines.sharepoint.com/:b:/s/SALES-CS/IQD6Nsn6opsgSK4kMUxA5l97AZOAJqoFG6Rcl65hLSqwMkE?e=Bz8Wyw" TargetMode="External"/><Relationship Id="rId125" Type="http://schemas.openxmlformats.org/officeDocument/2006/relationships/hyperlink" Target="https://bkktslines.sharepoint.com/:b:/s/SALES-CS/IQCCFSkq0zu-Qa0nb3TyrPxvAQQ3hbCtz1p8WbGruVadlho?e=hvCQRS" TargetMode="External"/><Relationship Id="rId146" Type="http://schemas.openxmlformats.org/officeDocument/2006/relationships/hyperlink" Target="https://www.lcit.com/vessel?vsl=MATOYA+BAY&amp;voy=0N80VN1NC" TargetMode="External"/><Relationship Id="rId167" Type="http://schemas.openxmlformats.org/officeDocument/2006/relationships/hyperlink" Target="https://bkktslines.sharepoint.com/:b:/s/SALES-CS/IQBQmkxCmUvUS64hQqHW-0WyAUQzBD82Y6iB__kOtBxecoo?e=ceYqGI" TargetMode="External"/><Relationship Id="rId188" Type="http://schemas.openxmlformats.org/officeDocument/2006/relationships/hyperlink" Target="https://bkktslines.sharepoint.com/:b:/s/SALES-CS/IQD7J5MbOfmMTr8AXdzx-Hq2ASV591IUiXya33CkZ6WVbYo?e=lwbiYj" TargetMode="External"/><Relationship Id="rId71" Type="http://schemas.openxmlformats.org/officeDocument/2006/relationships/hyperlink" Target="https://bkktslines.sharepoint.com/:b:/s/SALES-CS/IQA9Aeq2dni6SZNSOjlX7rsXATAPzJ80a9_uDt_4gy51Xyk?e=i2tbs6" TargetMode="External"/><Relationship Id="rId92" Type="http://schemas.openxmlformats.org/officeDocument/2006/relationships/hyperlink" Target="https://bkktslines.sharepoint.com/:b:/s/SALES-CS/IQBdAEWjag-2Sog-S2i05G0hAatEYNFMfY-BdcDmnKS-ufk?e=pStHjK" TargetMode="External"/><Relationship Id="rId213" Type="http://schemas.openxmlformats.org/officeDocument/2006/relationships/hyperlink" Target="https://bkktslines.sharepoint.com/:b:/s/SALES-CS/IQB_T0Lw_auOQIQAeGydHeJEAXZN8cN5xA7hrgbZYudLWmU?e=KOmxap" TargetMode="External"/><Relationship Id="rId234" Type="http://schemas.openxmlformats.org/officeDocument/2006/relationships/hyperlink" Target="https://bkktslines.sharepoint.com/:b:/s/SALES-CS/IQCoTgNYKcI1Sr_0xUUTW3PvAXGVkZBiFwiuZsQUlFNBQqc?e=7lSI1g" TargetMode="External"/><Relationship Id="rId2" Type="http://schemas.openxmlformats.org/officeDocument/2006/relationships/hyperlink" Target="https://service.esco.co.th/BerthSchedule" TargetMode="External"/><Relationship Id="rId29" Type="http://schemas.openxmlformats.org/officeDocument/2006/relationships/hyperlink" Target="https://bkktslines.sharepoint.com/:b:/s/SALES-CS/IQB_l0K1d2FVQpB04cKobT0mAeDQrozHrPW76TKBi1vaqHs?e=BaDWkI" TargetMode="External"/><Relationship Id="rId255" Type="http://schemas.openxmlformats.org/officeDocument/2006/relationships/hyperlink" Target="https://bkktslines.sharepoint.com/:b:/s/SALES-CS/IQD9nzxRfAjBQ5XdIXvUQyaXAcAUrICbB4KZ8NlmJqezE0Q?e=rpUbni" TargetMode="External"/><Relationship Id="rId276" Type="http://schemas.openxmlformats.org/officeDocument/2006/relationships/hyperlink" Target="https://bkktslines.sharepoint.com/:b:/s/SALES-CS/IQBANqYZo0Q4SqEy7cuhxwAWAS-ttWmnxJzg5hFsuwhBXY8?e=mMjQ3b" TargetMode="External"/><Relationship Id="rId297" Type="http://schemas.openxmlformats.org/officeDocument/2006/relationships/comments" Target="../comments1.xml"/><Relationship Id="rId40" Type="http://schemas.openxmlformats.org/officeDocument/2006/relationships/hyperlink" Target="https://www.lcit.com/vessel?vsl=KMTC+POHANG&amp;voy=2601N" TargetMode="External"/><Relationship Id="rId115" Type="http://schemas.openxmlformats.org/officeDocument/2006/relationships/hyperlink" Target="https://bkktslines.sharepoint.com/:b:/s/SALES-CS/IQC3dS3C4lR5QpO-PSsAZvMCAfj-uceUTjhkODJnSDGngRM?e=AlOhut" TargetMode="External"/><Relationship Id="rId136" Type="http://schemas.openxmlformats.org/officeDocument/2006/relationships/hyperlink" Target="https://online.hutchisonports.co.th/hptpcs/f?p=114:17:132438998109:::::" TargetMode="External"/><Relationship Id="rId157" Type="http://schemas.openxmlformats.org/officeDocument/2006/relationships/hyperlink" Target="https://bkktslines.sharepoint.com/:b:/s/SALES-CS/IQCwQzveKS9cTJef3iVX4qhMAfgCw2ymhQb4lNSGQ4ytk5M?e=eh0W7P" TargetMode="External"/><Relationship Id="rId178" Type="http://schemas.openxmlformats.org/officeDocument/2006/relationships/hyperlink" Target="https://www.lcit.com/vessel?vsl=SAWASDEE+MIMOSA&amp;voy=2606N" TargetMode="External"/><Relationship Id="rId61" Type="http://schemas.openxmlformats.org/officeDocument/2006/relationships/hyperlink" Target="https://bkktslines.sharepoint.com/:b:/s/SALES-CS/IQCokDJjJL16T6c04uZe5USvAXvy6CNq8DjgZKStBXjcA3g?e=ECNqZJ" TargetMode="External"/><Relationship Id="rId82" Type="http://schemas.openxmlformats.org/officeDocument/2006/relationships/hyperlink" Target="https://bkktslines.sharepoint.com/:b:/s/SALES-CS/IQCiKr_-61n_QrmOJ3MFN72SATCp0iV6HLMKf2Dck7iTMMI?e=Hivx8D" TargetMode="External"/><Relationship Id="rId199" Type="http://schemas.openxmlformats.org/officeDocument/2006/relationships/hyperlink" Target="https://bkktslines.sharepoint.com/:b:/s/SALES-CS/IQDl1W9pVyZgR5ccjNd9TTNkAegtMUEpYaEkuTMaKYCmZJ4?e=vui8gy" TargetMode="External"/><Relationship Id="rId203" Type="http://schemas.openxmlformats.org/officeDocument/2006/relationships/hyperlink" Target="https://bkktslines.sharepoint.com/:b:/s/SALES-CS/IQCRh2je2ZXiQaK9jLJVnqH2AZzp5N5thYqOlz3GPqRf3uE?e=TOSRXe" TargetMode="External"/><Relationship Id="rId19" Type="http://schemas.openxmlformats.org/officeDocument/2006/relationships/hyperlink" Target="https://service.esco.co.th/BerthSchedule" TargetMode="External"/><Relationship Id="rId224" Type="http://schemas.openxmlformats.org/officeDocument/2006/relationships/hyperlink" Target="https://online.hutchisonports.co.th/hptpcs/f?p=114:17:1190016348205:::::" TargetMode="External"/><Relationship Id="rId245" Type="http://schemas.openxmlformats.org/officeDocument/2006/relationships/hyperlink" Target="https://bkktslines.sharepoint.com/:b:/s/SALES-CS/IQDlGlyXyWoFR5_0Ehi0SDveAdXj9kP5ozcng_JvbOjN_qc?e=PlscjP" TargetMode="External"/><Relationship Id="rId266" Type="http://schemas.openxmlformats.org/officeDocument/2006/relationships/hyperlink" Target="https://www.lcit.com/vessel?vsl=KMTC+TOKYO&amp;voy=2610N" TargetMode="External"/><Relationship Id="rId287" Type="http://schemas.openxmlformats.org/officeDocument/2006/relationships/hyperlink" Target="https://online.hutchisonports.co.th/hptpcs/r/hpt_ws/hpt-super-app114/vessel-schedule" TargetMode="External"/><Relationship Id="rId30" Type="http://schemas.openxmlformats.org/officeDocument/2006/relationships/hyperlink" Target="https://bkktslines.sharepoint.com/:b:/s/SALES-CS/IQCctBLtUXxXQaBp5w0OrsOyAcO6PqzRgush84WjeiahJrc?e=duyedl" TargetMode="External"/><Relationship Id="rId105" Type="http://schemas.openxmlformats.org/officeDocument/2006/relationships/hyperlink" Target="https://service.esco.co.th/BerthSchedule" TargetMode="External"/><Relationship Id="rId126" Type="http://schemas.openxmlformats.org/officeDocument/2006/relationships/hyperlink" Target="https://www.lcit.com/vessel?vsl=KMTC+GWANGYANG&amp;voy=2605N" TargetMode="External"/><Relationship Id="rId147" Type="http://schemas.openxmlformats.org/officeDocument/2006/relationships/hyperlink" Target="https://bkktslines.sharepoint.com/:b:/s/SALES-CS/IQD8zOkn-XEsQ7UXmcyErBryAUFja5Nr0VNHrdRKq9tc0ks?e=recDZ2" TargetMode="External"/><Relationship Id="rId168" Type="http://schemas.openxmlformats.org/officeDocument/2006/relationships/hyperlink" Target="https://online.hutchisonports.co.th/hptpcs/f?p=114:17:112508547449089:::::" TargetMode="External"/><Relationship Id="rId51" Type="http://schemas.openxmlformats.org/officeDocument/2006/relationships/hyperlink" Target="https://bkktslines.sharepoint.com/:b:/s/SALES-CS/IQCWC_4y_MHlR5THNEOUssBbATC0nVmsr0m7ItAKb3z_lBc?e=YH9muG" TargetMode="External"/><Relationship Id="rId72" Type="http://schemas.openxmlformats.org/officeDocument/2006/relationships/hyperlink" Target="https://bkktslines.sharepoint.com/:b:/s/SALES-CS/IQDtXP1JjmXUTpK_q9tLuiU6AUfqF6HCjTKrSh7G72W5S4c?e=ldG3xk" TargetMode="External"/><Relationship Id="rId93" Type="http://schemas.openxmlformats.org/officeDocument/2006/relationships/hyperlink" Target="https://www.lcit.com/vessel?vsl=KMTC+GWANGYANG&amp;voy=2604N" TargetMode="External"/><Relationship Id="rId189" Type="http://schemas.openxmlformats.org/officeDocument/2006/relationships/hyperlink" Target="https://www.lcit.com/vessel?vsl=TS+TIANJIN&amp;voy=2606N" TargetMode="External"/><Relationship Id="rId3" Type="http://schemas.openxmlformats.org/officeDocument/2006/relationships/hyperlink" Target="https://bkktslines.sharepoint.com/:b:/s/SALES-CS/IQDLP3hwykcWRKcQBffyfnRqAc9qbOjbPlSHo5gtDfeN2Ao?e=fHoUiV" TargetMode="External"/><Relationship Id="rId214" Type="http://schemas.openxmlformats.org/officeDocument/2006/relationships/hyperlink" Target="https://online.hutchisonports.co.th/hptpcs/f?p=114:17:1190016348205:::::" TargetMode="External"/><Relationship Id="rId235" Type="http://schemas.openxmlformats.org/officeDocument/2006/relationships/hyperlink" Target="https://www.lcit.com/vessel?vsl=KMTC+GWANGYANG&amp;voy=2608N" TargetMode="External"/><Relationship Id="rId256" Type="http://schemas.openxmlformats.org/officeDocument/2006/relationships/hyperlink" Target="https://bkktslines.sharepoint.com/:b:/s/SALES-CS/IQBwEaM-EHKETpCQ8GSubjBiAZJU5FjDUDRsVdZ4N20P1iI?e=CNCbS5" TargetMode="External"/><Relationship Id="rId277" Type="http://schemas.openxmlformats.org/officeDocument/2006/relationships/hyperlink" Target="https://www.lcit.com/vessel?vsl=KMTC+GWANGYANG&amp;voy=2610N" TargetMode="External"/><Relationship Id="rId116" Type="http://schemas.openxmlformats.org/officeDocument/2006/relationships/hyperlink" Target="https://www.lcit.com/vessel?vsl=TS+TIANJIN&amp;voy=26004N" TargetMode="External"/><Relationship Id="rId137" Type="http://schemas.openxmlformats.org/officeDocument/2006/relationships/hyperlink" Target="https://www.lcit.com/vessel?vsl=CNC+LEOPARD&amp;voy=0N80TN1NC" TargetMode="External"/><Relationship Id="rId158" Type="http://schemas.openxmlformats.org/officeDocument/2006/relationships/hyperlink" Target="https://service.esco.co.th/BerthSchedule" TargetMode="External"/><Relationship Id="rId20" Type="http://schemas.openxmlformats.org/officeDocument/2006/relationships/hyperlink" Target="https://bkktslines.sharepoint.com/:b:/s/SALES-CS/IQAt08-iyP_IQLASYmHyPgQUARJBy7ANViAA-6EqWFNuD94?e=Glepgs" TargetMode="External"/><Relationship Id="rId41" Type="http://schemas.openxmlformats.org/officeDocument/2006/relationships/hyperlink" Target="https://bkktslines.sharepoint.com/:b:/s/SALES-CS/IQD4LXjPA7uzQrvhfbdVIylUASdJPQKefVb4PZsbUtkbszI?e=mNMk1o" TargetMode="External"/><Relationship Id="rId62" Type="http://schemas.openxmlformats.org/officeDocument/2006/relationships/hyperlink" Target="https://www.lcit.com/vessel?vsl=TS+TIANJIN&amp;voy=26002N" TargetMode="External"/><Relationship Id="rId83" Type="http://schemas.openxmlformats.org/officeDocument/2006/relationships/hyperlink" Target="https://bkktslines.sharepoint.com/:b:/s/SALES-CS/IQBr-tEnB4a0Q6MUeQiKg1k6ActsVwjA5h_bwPCRWpDIz40?e=PNdqn6" TargetMode="External"/><Relationship Id="rId179" Type="http://schemas.openxmlformats.org/officeDocument/2006/relationships/hyperlink" Target="https://bkktslines.sharepoint.com/:b:/s/SALES-CS/IQD5kJvEiyFJRZP5odx3og7zAcZV2X4ELQlQbv2sGGNgrdw?e=Ff6DvT" TargetMode="External"/><Relationship Id="rId190" Type="http://schemas.openxmlformats.org/officeDocument/2006/relationships/hyperlink" Target="https://bkktslines.sharepoint.com/:b:/s/SALES-CS/IQAjuEPOI65pTZ9zNSoz0lIOAbwF1VBDFnE5gm-MdJvHvvw?e=H9XvfL" TargetMode="External"/><Relationship Id="rId204" Type="http://schemas.openxmlformats.org/officeDocument/2006/relationships/hyperlink" Target="https://bkktslines.sharepoint.com/:b:/s/SALES-CS/IQCAfsP-dphDS4fOu8pI-HQFAcUHHXPCU9J4HlkLkUbWtWk?e=CEmkcS" TargetMode="External"/><Relationship Id="rId225" Type="http://schemas.openxmlformats.org/officeDocument/2006/relationships/hyperlink" Target="https://bkktslines.sharepoint.com/:b:/s/SALES-CS/IQCGwtXUxMF7RIkLRwLyv-A4AXJTae76cEH10U4hpRCjkY8?e=YZavIE" TargetMode="External"/><Relationship Id="rId246" Type="http://schemas.openxmlformats.org/officeDocument/2006/relationships/hyperlink" Target="https://service.esco.co.th/BerthSchedule" TargetMode="External"/><Relationship Id="rId267" Type="http://schemas.openxmlformats.org/officeDocument/2006/relationships/hyperlink" Target="https://bkktslines.sharepoint.com/:b:/s/SALES-CS/IQB8ZII4BWmUQp5smcnfPmMxAV6gj5-sMzrO6rJgTHRAMow?e=yvrZ5R" TargetMode="External"/><Relationship Id="rId288" Type="http://schemas.openxmlformats.org/officeDocument/2006/relationships/hyperlink" Target="https://www.lcit.com/vessel?vsl=KMTC+TOKYO&amp;voy=2611N" TargetMode="External"/><Relationship Id="rId106" Type="http://schemas.openxmlformats.org/officeDocument/2006/relationships/hyperlink" Target="https://bkktslines.sharepoint.com/:b:/s/SALES-CS/IQAXNkN5v4ZMTLlgqDb71jdJAVxIjLbfmVxGZxGPv3PMZ7U?e=I8yU1A" TargetMode="External"/><Relationship Id="rId127" Type="http://schemas.openxmlformats.org/officeDocument/2006/relationships/hyperlink" Target="https://bkktslines.sharepoint.com/:b:/s/SALES-CS/IQBQPWGndEkXTLfCeJ73syS2AV494PgeJ_Z36sxv5qf7Tr0?e=n5YqZ2" TargetMode="External"/><Relationship Id="rId10" Type="http://schemas.openxmlformats.org/officeDocument/2006/relationships/hyperlink" Target="https://bkktslines.sharepoint.com/:b:/s/SALES-CS/IQB7R9LGOnEGRKDVLDJNVfA6AZ618Elcs7YZHX9bAsdBFuU?e=wW3Lkp" TargetMode="External"/><Relationship Id="rId31" Type="http://schemas.openxmlformats.org/officeDocument/2006/relationships/hyperlink" Target="https://www.lcit.com/vessel?vsl=HAIAN+EAST&amp;voy=0QIMON1NC" TargetMode="External"/><Relationship Id="rId52" Type="http://schemas.openxmlformats.org/officeDocument/2006/relationships/hyperlink" Target="https://www.lcit.com/vessel?vsl=LITTLE+DOLPHIN&amp;voy=2602N" TargetMode="External"/><Relationship Id="rId73" Type="http://schemas.openxmlformats.org/officeDocument/2006/relationships/hyperlink" Target="https://bkktslines.sharepoint.com/:b:/s/SALES-CS/IQARHTesEYJuQYAVtU71x5WEARiqWBcmPddudLi7E_KjBTQ?e=LCPo9n" TargetMode="External"/><Relationship Id="rId94" Type="http://schemas.openxmlformats.org/officeDocument/2006/relationships/hyperlink" Target="https://bkktslines.sharepoint.com/:b:/s/SALES-CS/IQCZJQW7g3hlR6GW1obwch6SAVNBxeZ2567OEat6sOh354w?e=0ylGe5" TargetMode="External"/><Relationship Id="rId148" Type="http://schemas.openxmlformats.org/officeDocument/2006/relationships/hyperlink" Target="https://service.esco.co.th/BerthSchedule" TargetMode="External"/><Relationship Id="rId169" Type="http://schemas.openxmlformats.org/officeDocument/2006/relationships/hyperlink" Target="https://service.esco.co.th/BerthSchedule" TargetMode="External"/><Relationship Id="rId4" Type="http://schemas.openxmlformats.org/officeDocument/2006/relationships/hyperlink" Target="https://bkktslines.sharepoint.com/:b:/s/SALES-CS/IQB2L1GIdjrYT6SBTClEEoAhAal6tiThXkp0mmetEn4CNgo?e=qW2UNJ" TargetMode="External"/><Relationship Id="rId180" Type="http://schemas.openxmlformats.org/officeDocument/2006/relationships/hyperlink" Target="https://service.esco.co.th/BerthSchedule" TargetMode="External"/><Relationship Id="rId215" Type="http://schemas.openxmlformats.org/officeDocument/2006/relationships/hyperlink" Target="https://bkktslines.sharepoint.com/:b:/s/SALES-CS/IQBHVJFnv1TsTpdJV_tyFgU2Add8scpHBqNwCC2t_a0aXcc?e=45dGb9" TargetMode="External"/><Relationship Id="rId236" Type="http://schemas.openxmlformats.org/officeDocument/2006/relationships/hyperlink" Target="https://bkktslines.sharepoint.com/:b:/s/SALES-CS/IQDcKs2FA5smQpSx-nWeRxIJAWBT26jK65r9YaUwsphAHoo?e=aq4DNF" TargetMode="External"/><Relationship Id="rId257" Type="http://schemas.openxmlformats.org/officeDocument/2006/relationships/hyperlink" Target="https://www.lcit.com/vessel?vsl=KMTC+GWANGYANG&amp;voy=2609N" TargetMode="External"/><Relationship Id="rId278" Type="http://schemas.openxmlformats.org/officeDocument/2006/relationships/hyperlink" Target="https://bkktslines.sharepoint.com/:b:/s/SALES-CS/IQAhmgxqHx8ZRJiKeaB2-KXgAUIqDQfKAVIACF4TonaNjlU?e=6ie6t6" TargetMode="External"/><Relationship Id="rId42" Type="http://schemas.openxmlformats.org/officeDocument/2006/relationships/hyperlink" Target="https://service.esco.co.th/BerthSchedule" TargetMode="External"/><Relationship Id="rId84" Type="http://schemas.openxmlformats.org/officeDocument/2006/relationships/hyperlink" Target="https://www.lcit.com/vessel?vsl=TS+TIANJIN&amp;voy=26003N" TargetMode="External"/><Relationship Id="rId138" Type="http://schemas.openxmlformats.org/officeDocument/2006/relationships/hyperlink" Target="https://service.esco.co.th/BerthSchedule" TargetMode="External"/><Relationship Id="rId191" Type="http://schemas.openxmlformats.org/officeDocument/2006/relationships/hyperlink" Target="https://service.esco.co.th/BerthSchedule" TargetMode="External"/><Relationship Id="rId205" Type="http://schemas.openxmlformats.org/officeDocument/2006/relationships/hyperlink" Target="https://www.lcit.com/vessel?vsl=LITTLE+DOLPHIN&amp;voy=2608N" TargetMode="External"/><Relationship Id="rId247" Type="http://schemas.openxmlformats.org/officeDocument/2006/relationships/hyperlink" Target="https://bkktslines.sharepoint.com/:b:/s/SALES-CS/IQAh2EfNfKveSp0Ivzi4q83aAZ_A6hGS66ENyT6Q2PLLWZE?e=yJ25Cb" TargetMode="External"/><Relationship Id="rId107" Type="http://schemas.openxmlformats.org/officeDocument/2006/relationships/hyperlink" Target="https://bkktslines.sharepoint.com/:b:/s/SALES-CS/IQBK2CPcRF1LRKEXkC2pdu_HAaDoW8DDrr43UnuFanicLxE?e=dGeNZR" TargetMode="External"/><Relationship Id="rId289" Type="http://schemas.openxmlformats.org/officeDocument/2006/relationships/hyperlink" Target="https://bkktslines.sharepoint.com/:b:/s/SALES-CS/IQAa4eO0UY9_TKcgUMIp9El_AQhJUDNpCE36nyGiHtss9cI?e=8slykj" TargetMode="External"/><Relationship Id="rId11" Type="http://schemas.openxmlformats.org/officeDocument/2006/relationships/hyperlink" Target="https://service.esco.co.th/BerthSchedule" TargetMode="External"/><Relationship Id="rId53" Type="http://schemas.openxmlformats.org/officeDocument/2006/relationships/hyperlink" Target="https://bkktslines.sharepoint.com/:b:/s/SALES-CS/IQBZv5mSvL7OQZ9T3unt3aJHAeFyiga5w938cULa8ni8MIw?e=8iLiey" TargetMode="External"/><Relationship Id="rId149" Type="http://schemas.openxmlformats.org/officeDocument/2006/relationships/hyperlink" Target="https://bkktslines.sharepoint.com/:x:/s/SALES-CS/IQAfncJ42uV6QbiLZRe3WLNrATwurqqE7w_cgFUMwPA5lKM?e=BehylQ" TargetMode="External"/><Relationship Id="rId95" Type="http://schemas.openxmlformats.org/officeDocument/2006/relationships/hyperlink" Target="https://www.lcit.com/vessel?vsl=KMTC+POHANG&amp;voy=2604N" TargetMode="External"/><Relationship Id="rId160" Type="http://schemas.openxmlformats.org/officeDocument/2006/relationships/hyperlink" Target="https://online.hutchisonports.co.th/hptpcs/f?p=114:17:112508547449089:::::" TargetMode="External"/><Relationship Id="rId216" Type="http://schemas.openxmlformats.org/officeDocument/2006/relationships/hyperlink" Target="https://www.lcit.com/vessel?vsl=CNC+LEOPARD&amp;voy=0N819N1NC" TargetMode="External"/><Relationship Id="rId258" Type="http://schemas.openxmlformats.org/officeDocument/2006/relationships/hyperlink" Target="https://bkktslines.sharepoint.com/:b:/s/SALES-CS/IQBSv-o-5s4oSJL6TZ1kZopIAcxgb4Unh2dsDuIOmGhS6b8?e=NK7ScG" TargetMode="External"/><Relationship Id="rId22" Type="http://schemas.openxmlformats.org/officeDocument/2006/relationships/hyperlink" Target="https://www.lcit.com/vessel?vsl=ASL+HONG+KONG&amp;voy=0QIMMN1NC" TargetMode="External"/><Relationship Id="rId64" Type="http://schemas.openxmlformats.org/officeDocument/2006/relationships/hyperlink" Target="https://www.lcit.com/vessel?vsl=TS+OSAKA&amp;voy=26003N" TargetMode="External"/><Relationship Id="rId118" Type="http://schemas.openxmlformats.org/officeDocument/2006/relationships/hyperlink" Target="https://www.lcit.com/vessel?vsl=LITTLE+DOLPHIN&amp;voy=2605N" TargetMode="External"/><Relationship Id="rId171" Type="http://schemas.openxmlformats.org/officeDocument/2006/relationships/hyperlink" Target="https://bkktslines.sharepoint.com/:b:/s/SALES-CS/IQBV-oqkTBjUSISN5St05UovAdKVmgMWZOtcZROW_gjOw2E?e=2ivNmI" TargetMode="External"/><Relationship Id="rId227" Type="http://schemas.openxmlformats.org/officeDocument/2006/relationships/hyperlink" Target="https://bkktslines.sharepoint.com/:b:/s/SALES-CS/IQB_T22pCZWxS48ebMxhFjnLAVhlokbvMhfQ89DyDgPjz7Y?e=uwbYcj" TargetMode="External"/><Relationship Id="rId269" Type="http://schemas.openxmlformats.org/officeDocument/2006/relationships/hyperlink" Target="https://bkktslines.sharepoint.com/:b:/s/SALES-CS/IQDp4h67BZ70TbVIVW9HhnhBAdUWGQtzWx4Q2U0rrSmnhaQ?e=fRxxCZ" TargetMode="External"/><Relationship Id="rId33" Type="http://schemas.openxmlformats.org/officeDocument/2006/relationships/hyperlink" Target="https://www.lcit.com/vessel?vsl=LITTLE+DOLPHIN&amp;voy=2601N" TargetMode="External"/><Relationship Id="rId129" Type="http://schemas.openxmlformats.org/officeDocument/2006/relationships/hyperlink" Target="https://bkktslines.sharepoint.com/:b:/s/SALES-CS/IQChWT5wQ6ICT57JYQfY-Ow0AaNZsIYSGrSnoYuBn7btF0s?e=SwsI6B" TargetMode="External"/><Relationship Id="rId280" Type="http://schemas.openxmlformats.org/officeDocument/2006/relationships/hyperlink" Target="https://bkktslines.sharepoint.com/:b:/s/SALES-CS/IQDSE8pOkY2tR5AhJFNj3mdJAfLKHcqIi_dSvWppv1JVeG0?e=Nr3bzZ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umaporn@bkk-tslines.com" TargetMode="External"/><Relationship Id="rId2" Type="http://schemas.openxmlformats.org/officeDocument/2006/relationships/hyperlink" Target="mailto:nithid@bkk-tslines.com" TargetMode="External"/><Relationship Id="rId1" Type="http://schemas.openxmlformats.org/officeDocument/2006/relationships/hyperlink" Target="mailto:chernatan@bkk-tslines.com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bkktslines-my.sharepoint.com/:b:/g/personal/wasan_bkk-tslines_com/ERfWoyLWOylEphoMFqQ2M6oBlni2QRi_Fw9MmgvLGjrrfQ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8761D"/>
    <outlinePr summaryBelow="0" summaryRight="0"/>
    <pageSetUpPr fitToPage="1"/>
  </sheetPr>
  <dimension ref="A1:N52"/>
  <sheetViews>
    <sheetView showGridLines="0" topLeftCell="A26" workbookViewId="0"/>
  </sheetViews>
  <sheetFormatPr defaultColWidth="10.09765625" defaultRowHeight="15" customHeight="1"/>
  <cols>
    <col min="3" max="3" width="10.796875" customWidth="1"/>
    <col min="5" max="5" width="9.09765625" customWidth="1"/>
    <col min="6" max="6" width="10.59765625" customWidth="1"/>
    <col min="8" max="8" width="9" customWidth="1"/>
    <col min="9" max="10" width="8.296875" customWidth="1"/>
    <col min="11" max="11" width="7.8984375" customWidth="1"/>
    <col min="12" max="12" width="8.296875" customWidth="1"/>
    <col min="13" max="13" width="7.3984375" customWidth="1"/>
  </cols>
  <sheetData>
    <row r="1" spans="1:14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8.75">
      <c r="A3" s="1"/>
      <c r="B3" s="1"/>
      <c r="C3" s="1"/>
      <c r="D3" s="480" t="s">
        <v>0</v>
      </c>
      <c r="E3" s="481"/>
      <c r="F3" s="481"/>
      <c r="G3" s="481"/>
      <c r="H3" s="481"/>
      <c r="I3" s="1"/>
      <c r="J3" s="1"/>
      <c r="K3" s="1"/>
      <c r="L3" s="1"/>
      <c r="M3" s="1"/>
      <c r="N3" s="1"/>
    </row>
    <row r="4" spans="1:14" ht="18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8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8.75">
      <c r="A6" s="1"/>
      <c r="B6" s="482" t="s">
        <v>1</v>
      </c>
      <c r="C6" s="48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8.7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18.75">
      <c r="A8" s="1"/>
      <c r="B8" s="12" t="s">
        <v>6</v>
      </c>
      <c r="C8" s="1"/>
      <c r="D8" s="1"/>
      <c r="E8" s="12"/>
      <c r="F8" s="1"/>
      <c r="G8" s="1"/>
      <c r="H8" s="1"/>
      <c r="I8" s="1"/>
      <c r="J8" s="1"/>
      <c r="K8" s="1"/>
      <c r="L8" s="1"/>
      <c r="M8" s="1"/>
      <c r="N8" s="1"/>
    </row>
    <row r="9" spans="1:14" ht="18.75">
      <c r="A9" s="1"/>
      <c r="B9" s="483" t="s">
        <v>10</v>
      </c>
      <c r="C9" s="478" t="s">
        <v>11</v>
      </c>
      <c r="D9" s="476"/>
      <c r="E9" s="476"/>
      <c r="F9" s="478" t="s">
        <v>14</v>
      </c>
      <c r="G9" s="476"/>
      <c r="H9" s="476"/>
      <c r="I9" s="478" t="s">
        <v>15</v>
      </c>
      <c r="J9" s="476"/>
      <c r="K9" s="476"/>
      <c r="L9" s="476"/>
      <c r="M9" s="477"/>
      <c r="N9" s="1"/>
    </row>
    <row r="10" spans="1:14" ht="18.75">
      <c r="A10" s="1"/>
      <c r="B10" s="484"/>
      <c r="C10" s="31" t="s">
        <v>19</v>
      </c>
      <c r="D10" s="32" t="s">
        <v>22</v>
      </c>
      <c r="E10" s="31" t="s">
        <v>23</v>
      </c>
      <c r="F10" s="31" t="s">
        <v>19</v>
      </c>
      <c r="G10" s="32" t="s">
        <v>22</v>
      </c>
      <c r="H10" s="31" t="s">
        <v>23</v>
      </c>
      <c r="I10" s="31" t="s">
        <v>24</v>
      </c>
      <c r="J10" s="31" t="s">
        <v>25</v>
      </c>
      <c r="K10" s="31" t="s">
        <v>26</v>
      </c>
      <c r="L10" s="31" t="s">
        <v>27</v>
      </c>
      <c r="M10" s="31" t="s">
        <v>28</v>
      </c>
      <c r="N10" s="1"/>
    </row>
    <row r="11" spans="1:14" ht="18.75">
      <c r="A11" s="33"/>
      <c r="B11" s="34" t="s">
        <v>29</v>
      </c>
      <c r="C11" s="34" t="s">
        <v>30</v>
      </c>
      <c r="D11" s="34" t="s">
        <v>31</v>
      </c>
      <c r="E11" s="34" t="s">
        <v>32</v>
      </c>
      <c r="F11" s="34" t="s">
        <v>33</v>
      </c>
      <c r="G11" s="34" t="s">
        <v>34</v>
      </c>
      <c r="H11" s="34" t="s">
        <v>35</v>
      </c>
      <c r="I11" s="35">
        <v>9</v>
      </c>
      <c r="J11" s="35">
        <v>9</v>
      </c>
      <c r="K11" s="35">
        <v>10</v>
      </c>
      <c r="L11" s="35">
        <v>11</v>
      </c>
      <c r="M11" s="35">
        <v>12</v>
      </c>
      <c r="N11" s="33"/>
    </row>
    <row r="12" spans="1:14" ht="18.7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18.75">
      <c r="A13" s="1"/>
      <c r="B13" s="12" t="s">
        <v>36</v>
      </c>
      <c r="C13" s="1"/>
      <c r="D13" s="1"/>
      <c r="E13" s="12"/>
      <c r="F13" s="1"/>
      <c r="G13" s="1"/>
      <c r="H13" s="1"/>
      <c r="I13" s="1"/>
      <c r="J13" s="1"/>
      <c r="K13" s="1"/>
      <c r="L13" s="1"/>
      <c r="M13" s="1"/>
      <c r="N13" s="1"/>
    </row>
    <row r="14" spans="1:14" ht="18.75">
      <c r="A14" s="1"/>
      <c r="B14" s="483" t="s">
        <v>10</v>
      </c>
      <c r="C14" s="478" t="s">
        <v>11</v>
      </c>
      <c r="D14" s="476"/>
      <c r="E14" s="476"/>
      <c r="F14" s="478" t="s">
        <v>14</v>
      </c>
      <c r="G14" s="476"/>
      <c r="H14" s="476"/>
      <c r="I14" s="475" t="s">
        <v>15</v>
      </c>
      <c r="J14" s="476"/>
      <c r="K14" s="477"/>
      <c r="L14" s="1"/>
      <c r="M14" s="1"/>
      <c r="N14" s="1"/>
    </row>
    <row r="15" spans="1:14" ht="18.75">
      <c r="A15" s="1"/>
      <c r="B15" s="484"/>
      <c r="C15" s="31" t="s">
        <v>19</v>
      </c>
      <c r="D15" s="32" t="s">
        <v>22</v>
      </c>
      <c r="E15" s="31" t="s">
        <v>23</v>
      </c>
      <c r="F15" s="31" t="s">
        <v>19</v>
      </c>
      <c r="G15" s="32" t="s">
        <v>22</v>
      </c>
      <c r="H15" s="31" t="s">
        <v>23</v>
      </c>
      <c r="I15" s="478" t="s">
        <v>37</v>
      </c>
      <c r="J15" s="477"/>
      <c r="K15" s="31" t="s">
        <v>38</v>
      </c>
      <c r="L15" s="1"/>
      <c r="M15" s="1"/>
      <c r="N15" s="1"/>
    </row>
    <row r="16" spans="1:14" ht="18.75" hidden="1">
      <c r="A16" s="33"/>
      <c r="B16" s="34" t="s">
        <v>39</v>
      </c>
      <c r="C16" s="34" t="s">
        <v>40</v>
      </c>
      <c r="D16" s="34" t="s">
        <v>41</v>
      </c>
      <c r="E16" s="34" t="s">
        <v>42</v>
      </c>
      <c r="F16" s="34" t="s">
        <v>43</v>
      </c>
      <c r="G16" s="34" t="s">
        <v>44</v>
      </c>
      <c r="H16" s="34" t="s">
        <v>45</v>
      </c>
      <c r="I16" s="35">
        <v>6</v>
      </c>
      <c r="J16" s="35">
        <v>8</v>
      </c>
      <c r="K16" s="35" t="s">
        <v>46</v>
      </c>
      <c r="L16" s="33"/>
      <c r="M16" s="33"/>
      <c r="N16" s="33"/>
    </row>
    <row r="17" spans="1:14" ht="18.75">
      <c r="A17" s="1"/>
      <c r="B17" s="34" t="s">
        <v>47</v>
      </c>
      <c r="C17" s="34" t="s">
        <v>48</v>
      </c>
      <c r="D17" s="34" t="s">
        <v>49</v>
      </c>
      <c r="E17" s="34" t="s">
        <v>42</v>
      </c>
      <c r="F17" s="34" t="s">
        <v>50</v>
      </c>
      <c r="G17" s="34" t="s">
        <v>51</v>
      </c>
      <c r="H17" s="34" t="s">
        <v>32</v>
      </c>
      <c r="I17" s="479" t="s">
        <v>52</v>
      </c>
      <c r="J17" s="477"/>
      <c r="K17" s="35">
        <v>9</v>
      </c>
      <c r="L17" s="1"/>
      <c r="M17" s="1"/>
      <c r="N17" s="1"/>
    </row>
    <row r="18" spans="1:14" ht="18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18.75">
      <c r="A19" s="1"/>
      <c r="B19" s="12" t="s">
        <v>53</v>
      </c>
      <c r="C19" s="1"/>
      <c r="D19" s="1"/>
      <c r="E19" s="12"/>
      <c r="F19" s="1"/>
      <c r="G19" s="1"/>
      <c r="H19" s="1"/>
      <c r="I19" s="1"/>
      <c r="J19" s="1"/>
      <c r="K19" s="1"/>
      <c r="L19" s="1"/>
      <c r="M19" s="1"/>
      <c r="N19" s="1"/>
    </row>
    <row r="20" spans="1:14" ht="18.75">
      <c r="A20" s="1"/>
      <c r="B20" s="483" t="s">
        <v>10</v>
      </c>
      <c r="C20" s="478" t="s">
        <v>11</v>
      </c>
      <c r="D20" s="476"/>
      <c r="E20" s="476"/>
      <c r="F20" s="478" t="s">
        <v>14</v>
      </c>
      <c r="G20" s="476"/>
      <c r="H20" s="476"/>
      <c r="I20" s="475" t="s">
        <v>15</v>
      </c>
      <c r="J20" s="477"/>
      <c r="K20" s="1"/>
      <c r="L20" s="1"/>
      <c r="M20" s="1"/>
      <c r="N20" s="1"/>
    </row>
    <row r="21" spans="1:14" ht="18.75">
      <c r="A21" s="1"/>
      <c r="B21" s="484"/>
      <c r="C21" s="31" t="s">
        <v>19</v>
      </c>
      <c r="D21" s="32" t="s">
        <v>22</v>
      </c>
      <c r="E21" s="31" t="s">
        <v>23</v>
      </c>
      <c r="F21" s="31" t="s">
        <v>19</v>
      </c>
      <c r="G21" s="32" t="s">
        <v>22</v>
      </c>
      <c r="H21" s="31" t="s">
        <v>23</v>
      </c>
      <c r="I21" s="31" t="s">
        <v>54</v>
      </c>
      <c r="J21" s="31" t="s">
        <v>55</v>
      </c>
      <c r="K21" s="1"/>
      <c r="L21" s="1"/>
      <c r="M21" s="1"/>
      <c r="N21" s="1"/>
    </row>
    <row r="22" spans="1:14" ht="18.75">
      <c r="A22" s="1"/>
      <c r="B22" s="34" t="s">
        <v>47</v>
      </c>
      <c r="C22" s="34" t="s">
        <v>48</v>
      </c>
      <c r="D22" s="34" t="s">
        <v>49</v>
      </c>
      <c r="E22" s="34" t="s">
        <v>42</v>
      </c>
      <c r="F22" s="34" t="s">
        <v>50</v>
      </c>
      <c r="G22" s="34" t="s">
        <v>51</v>
      </c>
      <c r="H22" s="34" t="s">
        <v>32</v>
      </c>
      <c r="I22" s="35">
        <v>7</v>
      </c>
      <c r="J22" s="35">
        <v>7</v>
      </c>
      <c r="K22" s="1"/>
      <c r="L22" s="1"/>
      <c r="M22" s="1"/>
      <c r="N22" s="1"/>
    </row>
    <row r="23" spans="1:14" ht="18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18.75">
      <c r="A24" s="1"/>
      <c r="B24" s="12" t="s">
        <v>56</v>
      </c>
      <c r="C24" s="1"/>
      <c r="D24" s="1"/>
      <c r="E24" s="1"/>
      <c r="F24" s="1"/>
      <c r="G24" s="12"/>
      <c r="H24" s="1"/>
      <c r="I24" s="1"/>
      <c r="J24" s="1"/>
      <c r="K24" s="1"/>
      <c r="L24" s="1"/>
      <c r="M24" s="1"/>
      <c r="N24" s="1"/>
    </row>
    <row r="25" spans="1:14" ht="18.75">
      <c r="A25" s="1"/>
      <c r="B25" s="483" t="s">
        <v>10</v>
      </c>
      <c r="C25" s="478" t="s">
        <v>57</v>
      </c>
      <c r="D25" s="476"/>
      <c r="E25" s="476"/>
      <c r="F25" s="478" t="s">
        <v>14</v>
      </c>
      <c r="G25" s="476"/>
      <c r="H25" s="476"/>
      <c r="I25" s="478" t="s">
        <v>58</v>
      </c>
      <c r="J25" s="476"/>
      <c r="K25" s="477"/>
      <c r="L25" s="1"/>
      <c r="M25" s="1"/>
      <c r="N25" s="1"/>
    </row>
    <row r="26" spans="1:14" ht="18.75">
      <c r="A26" s="1"/>
      <c r="B26" s="484"/>
      <c r="C26" s="31" t="s">
        <v>19</v>
      </c>
      <c r="D26" s="32" t="s">
        <v>22</v>
      </c>
      <c r="E26" s="31" t="s">
        <v>23</v>
      </c>
      <c r="F26" s="31" t="s">
        <v>19</v>
      </c>
      <c r="G26" s="32" t="s">
        <v>22</v>
      </c>
      <c r="H26" s="31" t="s">
        <v>23</v>
      </c>
      <c r="I26" s="31" t="s">
        <v>59</v>
      </c>
      <c r="J26" s="31" t="s">
        <v>60</v>
      </c>
      <c r="K26" s="31" t="s">
        <v>61</v>
      </c>
      <c r="L26" s="1"/>
      <c r="M26" s="1"/>
      <c r="N26" s="1"/>
    </row>
    <row r="27" spans="1:14" ht="18.75">
      <c r="A27" s="33"/>
      <c r="B27" s="34" t="s">
        <v>29</v>
      </c>
      <c r="C27" s="34" t="s">
        <v>30</v>
      </c>
      <c r="D27" s="34" t="s">
        <v>31</v>
      </c>
      <c r="E27" s="34" t="s">
        <v>32</v>
      </c>
      <c r="F27" s="34" t="s">
        <v>33</v>
      </c>
      <c r="G27" s="34" t="s">
        <v>34</v>
      </c>
      <c r="H27" s="34" t="s">
        <v>35</v>
      </c>
      <c r="I27" s="35">
        <v>6</v>
      </c>
      <c r="J27" s="35">
        <v>5</v>
      </c>
      <c r="K27" s="35">
        <v>4</v>
      </c>
      <c r="L27" s="33"/>
      <c r="M27" s="33"/>
      <c r="N27" s="33"/>
    </row>
    <row r="28" spans="1:14" ht="18.75">
      <c r="A28" s="33"/>
      <c r="B28" s="34" t="s">
        <v>62</v>
      </c>
      <c r="C28" s="34" t="s">
        <v>63</v>
      </c>
      <c r="D28" s="34" t="s">
        <v>49</v>
      </c>
      <c r="E28" s="34" t="s">
        <v>42</v>
      </c>
      <c r="F28" s="34" t="s">
        <v>43</v>
      </c>
      <c r="G28" s="34" t="s">
        <v>64</v>
      </c>
      <c r="H28" s="34" t="s">
        <v>45</v>
      </c>
      <c r="I28" s="35">
        <v>4</v>
      </c>
      <c r="J28" s="34" t="s">
        <v>46</v>
      </c>
      <c r="K28" s="34" t="s">
        <v>46</v>
      </c>
      <c r="L28" s="33"/>
      <c r="M28" s="33"/>
      <c r="N28" s="33"/>
    </row>
    <row r="29" spans="1:14" ht="18.75">
      <c r="A29" s="33"/>
      <c r="B29" s="34" t="s">
        <v>65</v>
      </c>
      <c r="C29" s="34" t="s">
        <v>63</v>
      </c>
      <c r="D29" s="34" t="s">
        <v>66</v>
      </c>
      <c r="E29" s="34" t="s">
        <v>67</v>
      </c>
      <c r="F29" s="34" t="s">
        <v>43</v>
      </c>
      <c r="G29" s="34" t="s">
        <v>49</v>
      </c>
      <c r="H29" s="34" t="s">
        <v>42</v>
      </c>
      <c r="I29" s="35">
        <v>4</v>
      </c>
      <c r="J29" s="34" t="s">
        <v>46</v>
      </c>
      <c r="K29" s="34" t="s">
        <v>46</v>
      </c>
      <c r="L29" s="33"/>
      <c r="M29" s="33"/>
      <c r="N29" s="33"/>
    </row>
    <row r="30" spans="1:14" ht="18.75" hidden="1">
      <c r="A30" s="33"/>
      <c r="B30" s="34" t="s">
        <v>68</v>
      </c>
      <c r="C30" s="34" t="s">
        <v>46</v>
      </c>
      <c r="D30" s="34" t="s">
        <v>46</v>
      </c>
      <c r="E30" s="34" t="s">
        <v>46</v>
      </c>
      <c r="F30" s="34" t="s">
        <v>33</v>
      </c>
      <c r="G30" s="34" t="s">
        <v>49</v>
      </c>
      <c r="H30" s="34" t="s">
        <v>42</v>
      </c>
      <c r="I30" s="35" t="s">
        <v>46</v>
      </c>
      <c r="J30" s="35">
        <v>4</v>
      </c>
      <c r="K30" s="34" t="s">
        <v>46</v>
      </c>
      <c r="L30" s="33"/>
      <c r="M30" s="33"/>
      <c r="N30" s="33"/>
    </row>
    <row r="31" spans="1:14" ht="18.75" hidden="1">
      <c r="A31" s="33"/>
      <c r="B31" s="34" t="s">
        <v>39</v>
      </c>
      <c r="C31" s="34" t="s">
        <v>40</v>
      </c>
      <c r="D31" s="34" t="s">
        <v>41</v>
      </c>
      <c r="E31" s="34" t="s">
        <v>42</v>
      </c>
      <c r="F31" s="34" t="s">
        <v>43</v>
      </c>
      <c r="G31" s="34" t="s">
        <v>44</v>
      </c>
      <c r="H31" s="34" t="s">
        <v>45</v>
      </c>
      <c r="I31" s="35">
        <v>4</v>
      </c>
      <c r="J31" s="34" t="s">
        <v>46</v>
      </c>
      <c r="K31" s="34" t="s">
        <v>46</v>
      </c>
      <c r="L31" s="33"/>
      <c r="M31" s="33"/>
      <c r="N31" s="33"/>
    </row>
    <row r="32" spans="1:14" ht="18.75" hidden="1">
      <c r="A32" s="33"/>
      <c r="B32" s="34" t="s">
        <v>69</v>
      </c>
      <c r="C32" s="34" t="s">
        <v>70</v>
      </c>
      <c r="D32" s="36" t="s">
        <v>71</v>
      </c>
      <c r="E32" s="36" t="s">
        <v>32</v>
      </c>
      <c r="F32" s="34" t="s">
        <v>33</v>
      </c>
      <c r="G32" s="34" t="s">
        <v>51</v>
      </c>
      <c r="H32" s="36" t="s">
        <v>32</v>
      </c>
      <c r="I32" s="34" t="s">
        <v>46</v>
      </c>
      <c r="J32" s="35" t="s">
        <v>46</v>
      </c>
      <c r="K32" s="35">
        <v>4</v>
      </c>
      <c r="L32" s="1"/>
      <c r="M32" s="1"/>
      <c r="N32" s="33"/>
    </row>
    <row r="33" spans="1:14" ht="18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8.75">
      <c r="A34" s="1"/>
      <c r="B34" s="12" t="s">
        <v>75</v>
      </c>
      <c r="C34" s="1"/>
      <c r="D34" s="1"/>
      <c r="E34" s="12"/>
      <c r="F34" s="1"/>
      <c r="G34" s="1"/>
      <c r="H34" s="1"/>
      <c r="I34" s="1"/>
      <c r="J34" s="1"/>
      <c r="K34" s="1"/>
      <c r="L34" s="1"/>
      <c r="M34" s="1"/>
      <c r="N34" s="1"/>
    </row>
    <row r="35" spans="1:14" ht="18.75">
      <c r="A35" s="33"/>
      <c r="B35" s="486" t="s">
        <v>10</v>
      </c>
      <c r="C35" s="485" t="s">
        <v>11</v>
      </c>
      <c r="D35" s="476"/>
      <c r="E35" s="476"/>
      <c r="F35" s="485" t="s">
        <v>14</v>
      </c>
      <c r="G35" s="476"/>
      <c r="H35" s="476"/>
      <c r="I35" s="485" t="s">
        <v>15</v>
      </c>
      <c r="J35" s="477"/>
      <c r="K35" s="33"/>
      <c r="L35" s="33"/>
      <c r="M35" s="33"/>
      <c r="N35" s="33"/>
    </row>
    <row r="36" spans="1:14" ht="18.75">
      <c r="A36" s="33"/>
      <c r="B36" s="484"/>
      <c r="C36" s="32" t="s">
        <v>19</v>
      </c>
      <c r="D36" s="32" t="s">
        <v>22</v>
      </c>
      <c r="E36" s="32" t="s">
        <v>23</v>
      </c>
      <c r="F36" s="32" t="s">
        <v>19</v>
      </c>
      <c r="G36" s="32" t="s">
        <v>22</v>
      </c>
      <c r="H36" s="32" t="s">
        <v>23</v>
      </c>
      <c r="I36" s="32" t="s">
        <v>81</v>
      </c>
      <c r="J36" s="32" t="s">
        <v>82</v>
      </c>
      <c r="K36" s="33"/>
      <c r="L36" s="33"/>
      <c r="M36" s="33"/>
      <c r="N36" s="33"/>
    </row>
    <row r="37" spans="1:14" ht="18.75">
      <c r="A37" s="33"/>
      <c r="B37" s="34" t="s">
        <v>65</v>
      </c>
      <c r="C37" s="34" t="s">
        <v>40</v>
      </c>
      <c r="D37" s="34" t="s">
        <v>66</v>
      </c>
      <c r="E37" s="34" t="s">
        <v>67</v>
      </c>
      <c r="F37" s="34" t="s">
        <v>43</v>
      </c>
      <c r="G37" s="34" t="s">
        <v>85</v>
      </c>
      <c r="H37" s="34" t="s">
        <v>42</v>
      </c>
      <c r="I37" s="35">
        <v>8</v>
      </c>
      <c r="J37" s="35" t="s">
        <v>46</v>
      </c>
      <c r="K37" s="33"/>
      <c r="L37" s="33"/>
      <c r="M37" s="33"/>
      <c r="N37" s="33"/>
    </row>
    <row r="38" spans="1:14" ht="18.75" hidden="1">
      <c r="A38" s="1"/>
      <c r="B38" s="34" t="s">
        <v>68</v>
      </c>
      <c r="C38" s="34" t="s">
        <v>46</v>
      </c>
      <c r="D38" s="34" t="s">
        <v>46</v>
      </c>
      <c r="E38" s="34" t="s">
        <v>46</v>
      </c>
      <c r="F38" s="34" t="s">
        <v>33</v>
      </c>
      <c r="G38" s="34" t="s">
        <v>49</v>
      </c>
      <c r="H38" s="34" t="s">
        <v>42</v>
      </c>
      <c r="I38" s="35" t="s">
        <v>46</v>
      </c>
      <c r="J38" s="35">
        <v>9</v>
      </c>
      <c r="K38" s="1"/>
      <c r="L38" s="1"/>
      <c r="M38" s="1"/>
      <c r="N38" s="1"/>
    </row>
    <row r="39" spans="1:14" ht="18.75">
      <c r="A39" s="1"/>
      <c r="B39" s="12"/>
      <c r="C39" s="1"/>
      <c r="D39" s="1"/>
      <c r="E39" s="1"/>
      <c r="F39" s="12"/>
      <c r="G39" s="1"/>
      <c r="H39" s="1"/>
      <c r="I39" s="1"/>
      <c r="J39" s="1"/>
      <c r="K39" s="1"/>
      <c r="L39" s="1"/>
      <c r="M39" s="1"/>
      <c r="N39" s="1"/>
    </row>
    <row r="40" spans="1:14" ht="18.75">
      <c r="A40" s="1"/>
      <c r="B40" s="12" t="s">
        <v>87</v>
      </c>
      <c r="C40" s="1"/>
      <c r="D40" s="1"/>
      <c r="E40" s="1"/>
      <c r="F40" s="12"/>
      <c r="G40" s="1"/>
      <c r="H40" s="1"/>
      <c r="I40" s="1"/>
      <c r="J40" s="1"/>
      <c r="K40" s="1"/>
      <c r="L40" s="1"/>
      <c r="M40" s="1"/>
      <c r="N40" s="1"/>
    </row>
    <row r="41" spans="1:14" ht="18.75">
      <c r="A41" s="33"/>
      <c r="B41" s="486" t="s">
        <v>10</v>
      </c>
      <c r="C41" s="485" t="s">
        <v>11</v>
      </c>
      <c r="D41" s="476"/>
      <c r="E41" s="476"/>
      <c r="F41" s="485" t="s">
        <v>14</v>
      </c>
      <c r="G41" s="476"/>
      <c r="H41" s="476"/>
      <c r="I41" s="485" t="s">
        <v>15</v>
      </c>
      <c r="J41" s="476"/>
      <c r="K41" s="476"/>
      <c r="L41" s="477"/>
      <c r="M41" s="1"/>
      <c r="N41" s="33"/>
    </row>
    <row r="42" spans="1:14" ht="18.75">
      <c r="A42" s="33"/>
      <c r="B42" s="484"/>
      <c r="C42" s="32" t="s">
        <v>19</v>
      </c>
      <c r="D42" s="32" t="s">
        <v>22</v>
      </c>
      <c r="E42" s="32" t="s">
        <v>23</v>
      </c>
      <c r="F42" s="32" t="s">
        <v>19</v>
      </c>
      <c r="G42" s="32" t="s">
        <v>92</v>
      </c>
      <c r="H42" s="32" t="s">
        <v>23</v>
      </c>
      <c r="I42" s="32" t="s">
        <v>93</v>
      </c>
      <c r="J42" s="32" t="s">
        <v>94</v>
      </c>
      <c r="K42" s="32" t="s">
        <v>95</v>
      </c>
      <c r="L42" s="32" t="s">
        <v>96</v>
      </c>
      <c r="M42" s="1"/>
      <c r="N42" s="33"/>
    </row>
    <row r="43" spans="1:14" ht="18.75">
      <c r="A43" s="33"/>
      <c r="B43" s="34" t="s">
        <v>65</v>
      </c>
      <c r="C43" s="34" t="s">
        <v>40</v>
      </c>
      <c r="D43" s="36" t="s">
        <v>66</v>
      </c>
      <c r="E43" s="36" t="s">
        <v>67</v>
      </c>
      <c r="F43" s="34" t="s">
        <v>43</v>
      </c>
      <c r="G43" s="34" t="s">
        <v>49</v>
      </c>
      <c r="H43" s="36" t="s">
        <v>42</v>
      </c>
      <c r="I43" s="35">
        <v>6</v>
      </c>
      <c r="J43" s="35">
        <v>13</v>
      </c>
      <c r="K43" s="34" t="s">
        <v>46</v>
      </c>
      <c r="L43" s="35">
        <v>11</v>
      </c>
      <c r="M43" s="1"/>
      <c r="N43" s="33"/>
    </row>
    <row r="44" spans="1:14" ht="18.75">
      <c r="A44" s="1"/>
      <c r="B44" s="34" t="s">
        <v>47</v>
      </c>
      <c r="C44" s="34" t="s">
        <v>48</v>
      </c>
      <c r="D44" s="34" t="s">
        <v>49</v>
      </c>
      <c r="E44" s="34" t="s">
        <v>42</v>
      </c>
      <c r="F44" s="34" t="s">
        <v>50</v>
      </c>
      <c r="G44" s="34" t="s">
        <v>51</v>
      </c>
      <c r="H44" s="34" t="s">
        <v>32</v>
      </c>
      <c r="I44" s="35">
        <v>6</v>
      </c>
      <c r="J44" s="35" t="s">
        <v>46</v>
      </c>
      <c r="K44" s="35" t="s">
        <v>46</v>
      </c>
      <c r="L44" s="35" t="s">
        <v>46</v>
      </c>
      <c r="M44" s="1"/>
      <c r="N44" s="1"/>
    </row>
    <row r="46" spans="1:14" ht="18.75">
      <c r="A46" s="1"/>
      <c r="B46" s="12" t="s">
        <v>97</v>
      </c>
      <c r="C46" s="1"/>
      <c r="D46" s="1"/>
      <c r="E46" s="50"/>
      <c r="F46" s="12"/>
      <c r="G46" s="1"/>
      <c r="H46" s="1"/>
      <c r="I46" s="1"/>
      <c r="J46" s="1"/>
      <c r="K46" s="1"/>
      <c r="L46" s="1"/>
      <c r="M46" s="1"/>
      <c r="N46" s="1"/>
    </row>
    <row r="47" spans="1:14" ht="18.75">
      <c r="A47" s="1"/>
      <c r="B47" s="486" t="s">
        <v>10</v>
      </c>
      <c r="C47" s="485" t="s">
        <v>11</v>
      </c>
      <c r="D47" s="476"/>
      <c r="E47" s="476"/>
      <c r="F47" s="485" t="s">
        <v>14</v>
      </c>
      <c r="G47" s="476"/>
      <c r="H47" s="476"/>
      <c r="I47" s="485" t="s">
        <v>15</v>
      </c>
      <c r="J47" s="476"/>
      <c r="K47" s="476"/>
      <c r="L47" s="477"/>
      <c r="M47" s="1"/>
      <c r="N47" s="1"/>
    </row>
    <row r="48" spans="1:14" ht="18.75">
      <c r="A48" s="1"/>
      <c r="B48" s="484"/>
      <c r="C48" s="32" t="s">
        <v>19</v>
      </c>
      <c r="D48" s="32" t="s">
        <v>22</v>
      </c>
      <c r="E48" s="41" t="s">
        <v>23</v>
      </c>
      <c r="F48" s="32" t="s">
        <v>19</v>
      </c>
      <c r="G48" s="32" t="s">
        <v>92</v>
      </c>
      <c r="H48" s="41" t="s">
        <v>23</v>
      </c>
      <c r="I48" s="32" t="s">
        <v>93</v>
      </c>
      <c r="J48" s="32" t="s">
        <v>94</v>
      </c>
      <c r="K48" s="32" t="s">
        <v>95</v>
      </c>
      <c r="L48" s="32" t="s">
        <v>96</v>
      </c>
      <c r="M48" s="1"/>
      <c r="N48" s="1"/>
    </row>
    <row r="49" spans="1:14" ht="18.75">
      <c r="A49" s="1"/>
      <c r="B49" s="34" t="s">
        <v>62</v>
      </c>
      <c r="C49" s="34" t="s">
        <v>40</v>
      </c>
      <c r="D49" s="36" t="s">
        <v>49</v>
      </c>
      <c r="E49" s="36" t="s">
        <v>42</v>
      </c>
      <c r="F49" s="34" t="s">
        <v>43</v>
      </c>
      <c r="G49" s="34" t="s">
        <v>64</v>
      </c>
      <c r="H49" s="36" t="s">
        <v>45</v>
      </c>
      <c r="I49" s="34" t="s">
        <v>46</v>
      </c>
      <c r="J49" s="35">
        <v>8</v>
      </c>
      <c r="K49" s="35">
        <v>9</v>
      </c>
      <c r="L49" s="34" t="s">
        <v>46</v>
      </c>
      <c r="M49" s="1"/>
      <c r="N49" s="1"/>
    </row>
    <row r="50" spans="1:14" ht="18.75" hidden="1">
      <c r="A50" s="33"/>
      <c r="B50" s="34" t="s">
        <v>68</v>
      </c>
      <c r="C50" s="34" t="s">
        <v>46</v>
      </c>
      <c r="D50" s="34" t="s">
        <v>46</v>
      </c>
      <c r="E50" s="34" t="s">
        <v>46</v>
      </c>
      <c r="F50" s="34" t="s">
        <v>33</v>
      </c>
      <c r="G50" s="34" t="s">
        <v>49</v>
      </c>
      <c r="H50" s="34" t="s">
        <v>42</v>
      </c>
      <c r="I50" s="35" t="s">
        <v>46</v>
      </c>
      <c r="J50" s="35">
        <v>12</v>
      </c>
      <c r="K50" s="34" t="s">
        <v>46</v>
      </c>
      <c r="L50" s="35" t="s">
        <v>46</v>
      </c>
      <c r="M50" s="1"/>
      <c r="N50" s="33"/>
    </row>
    <row r="51" spans="1:14" ht="18.75">
      <c r="A51" s="33"/>
      <c r="B51" s="34" t="s">
        <v>65</v>
      </c>
      <c r="C51" s="34" t="s">
        <v>40</v>
      </c>
      <c r="D51" s="36" t="s">
        <v>66</v>
      </c>
      <c r="E51" s="36" t="s">
        <v>67</v>
      </c>
      <c r="F51" s="34" t="s">
        <v>43</v>
      </c>
      <c r="G51" s="34" t="s">
        <v>49</v>
      </c>
      <c r="H51" s="36" t="s">
        <v>42</v>
      </c>
      <c r="I51" s="35">
        <v>6</v>
      </c>
      <c r="J51" s="35">
        <v>13</v>
      </c>
      <c r="K51" s="34" t="s">
        <v>46</v>
      </c>
      <c r="L51" s="35">
        <v>11</v>
      </c>
      <c r="M51" s="1"/>
      <c r="N51" s="33"/>
    </row>
    <row r="52" spans="1:14" ht="18.75" hidden="1">
      <c r="A52" s="33"/>
      <c r="B52" s="34" t="s">
        <v>69</v>
      </c>
      <c r="C52" s="34" t="s">
        <v>70</v>
      </c>
      <c r="D52" s="36" t="s">
        <v>71</v>
      </c>
      <c r="E52" s="36" t="s">
        <v>32</v>
      </c>
      <c r="F52" s="34" t="s">
        <v>33</v>
      </c>
      <c r="G52" s="34" t="s">
        <v>51</v>
      </c>
      <c r="H52" s="36" t="s">
        <v>32</v>
      </c>
      <c r="I52" s="34" t="s">
        <v>46</v>
      </c>
      <c r="J52" s="35">
        <v>10</v>
      </c>
      <c r="K52" s="35" t="s">
        <v>46</v>
      </c>
      <c r="L52" s="34">
        <v>8</v>
      </c>
      <c r="M52" s="1"/>
      <c r="N52" s="33"/>
    </row>
  </sheetData>
  <mergeCells count="32">
    <mergeCell ref="C25:E25"/>
    <mergeCell ref="F25:H25"/>
    <mergeCell ref="F41:H41"/>
    <mergeCell ref="I41:L41"/>
    <mergeCell ref="B47:B48"/>
    <mergeCell ref="C47:E47"/>
    <mergeCell ref="F47:H47"/>
    <mergeCell ref="I47:L47"/>
    <mergeCell ref="B25:B26"/>
    <mergeCell ref="B35:B36"/>
    <mergeCell ref="C35:E35"/>
    <mergeCell ref="F35:H35"/>
    <mergeCell ref="I35:J35"/>
    <mergeCell ref="B41:B42"/>
    <mergeCell ref="C41:E41"/>
    <mergeCell ref="I9:M9"/>
    <mergeCell ref="B14:B15"/>
    <mergeCell ref="C14:E14"/>
    <mergeCell ref="F14:H14"/>
    <mergeCell ref="B20:B21"/>
    <mergeCell ref="C20:E20"/>
    <mergeCell ref="F20:H20"/>
    <mergeCell ref="D3:H3"/>
    <mergeCell ref="B6:C6"/>
    <mergeCell ref="B9:B10"/>
    <mergeCell ref="C9:E9"/>
    <mergeCell ref="F9:H9"/>
    <mergeCell ref="I14:K14"/>
    <mergeCell ref="I15:J15"/>
    <mergeCell ref="I17:J17"/>
    <mergeCell ref="I20:J20"/>
    <mergeCell ref="I25:K25"/>
  </mergeCells>
  <phoneticPr fontId="149" type="noConversion"/>
  <hyperlinks>
    <hyperlink ref="B6" r:id="rId1" xr:uid="{00000000-0004-0000-0000-000000000000}"/>
  </hyperlinks>
  <printOptions horizontalCentered="1" gridLines="1"/>
  <pageMargins left="0.25" right="0.25" top="0.75" bottom="0.75" header="0" footer="0"/>
  <pageSetup fitToHeight="0" pageOrder="overThenDown" orientation="portrait" cellComments="atEnd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6FA8DC"/>
    <pageSetUpPr fitToPage="1"/>
  </sheetPr>
  <dimension ref="A1:AD189"/>
  <sheetViews>
    <sheetView showGridLines="0" tabSelected="1" workbookViewId="0">
      <pane ySplit="7" topLeftCell="A169" activePane="bottomLeft" state="frozen"/>
      <selection pane="bottomLeft" activeCell="B9" sqref="B9"/>
    </sheetView>
  </sheetViews>
  <sheetFormatPr defaultColWidth="10.09765625" defaultRowHeight="15" customHeight="1"/>
  <cols>
    <col min="1" max="1" width="3.19921875" customWidth="1"/>
    <col min="2" max="2" width="5.3984375" customWidth="1"/>
    <col min="3" max="3" width="15.3984375" customWidth="1"/>
    <col min="4" max="4" width="24.3984375" customWidth="1"/>
    <col min="5" max="5" width="7.19921875" customWidth="1"/>
    <col min="6" max="6" width="7.296875" customWidth="1"/>
    <col min="7" max="7" width="8.09765625" customWidth="1"/>
    <col min="8" max="8" width="8.19921875" customWidth="1"/>
    <col min="9" max="9" width="8.796875" customWidth="1"/>
    <col min="10" max="10" width="7" customWidth="1"/>
    <col min="11" max="11" width="8.69921875" customWidth="1"/>
    <col min="12" max="12" width="9.296875" customWidth="1"/>
    <col min="13" max="14" width="8.59765625" customWidth="1"/>
    <col min="15" max="15" width="6.796875" customWidth="1"/>
    <col min="16" max="16" width="9.8984375" customWidth="1"/>
    <col min="17" max="18" width="5.3984375" customWidth="1"/>
    <col min="19" max="19" width="4.8984375" customWidth="1"/>
    <col min="20" max="20" width="5.796875" customWidth="1"/>
    <col min="21" max="21" width="5" customWidth="1"/>
    <col min="22" max="24" width="5.296875" customWidth="1"/>
    <col min="25" max="25" width="5.19921875" customWidth="1"/>
    <col min="26" max="26" width="5.796875" customWidth="1"/>
    <col min="27" max="28" width="5.19921875" customWidth="1"/>
    <col min="29" max="29" width="5.296875" customWidth="1"/>
    <col min="30" max="30" width="47.8984375" customWidth="1"/>
  </cols>
  <sheetData>
    <row r="1" spans="1:30" ht="61.5" customHeight="1">
      <c r="A1" s="7"/>
      <c r="B1" s="8"/>
      <c r="C1" s="9"/>
      <c r="D1" s="10" t="s">
        <v>3</v>
      </c>
      <c r="E1" s="520" t="s">
        <v>5</v>
      </c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16"/>
      <c r="R1" s="16"/>
      <c r="S1" s="16"/>
      <c r="T1" s="16"/>
      <c r="U1" s="16"/>
      <c r="V1" s="16"/>
      <c r="W1" s="16"/>
      <c r="X1" s="16"/>
      <c r="Y1" s="22"/>
      <c r="Z1" s="22"/>
      <c r="AA1" s="22"/>
      <c r="AB1" s="22"/>
      <c r="AC1" s="22"/>
      <c r="AD1" s="16"/>
    </row>
    <row r="2" spans="1:30" ht="25.5" customHeight="1">
      <c r="A2" s="26"/>
      <c r="B2" s="8"/>
      <c r="C2" s="9"/>
      <c r="D2" s="28"/>
      <c r="E2" s="521" t="s">
        <v>17</v>
      </c>
      <c r="F2" s="522"/>
      <c r="G2" s="522"/>
      <c r="H2" s="522"/>
      <c r="I2" s="522"/>
      <c r="J2" s="522"/>
      <c r="K2" s="522"/>
      <c r="L2" s="522"/>
      <c r="M2" s="522"/>
      <c r="N2" s="522"/>
      <c r="O2" s="522"/>
      <c r="P2" s="523"/>
      <c r="Q2" s="39"/>
      <c r="R2" s="39"/>
      <c r="S2" s="39"/>
      <c r="T2" s="39"/>
      <c r="U2" s="39"/>
      <c r="V2" s="39"/>
      <c r="W2" s="39"/>
      <c r="X2" s="39"/>
      <c r="Y2" s="16"/>
      <c r="Z2" s="16"/>
      <c r="AA2" s="16"/>
      <c r="AB2" s="16"/>
      <c r="AC2" s="16"/>
      <c r="AD2" s="16"/>
    </row>
    <row r="3" spans="1:30" ht="27.75" customHeight="1">
      <c r="A3" s="26"/>
      <c r="B3" s="9" t="s">
        <v>78</v>
      </c>
      <c r="C3" s="9"/>
      <c r="D3" s="28"/>
      <c r="E3" s="524"/>
      <c r="F3" s="481"/>
      <c r="G3" s="481"/>
      <c r="H3" s="481"/>
      <c r="I3" s="481"/>
      <c r="J3" s="481"/>
      <c r="K3" s="481"/>
      <c r="L3" s="481"/>
      <c r="M3" s="481"/>
      <c r="N3" s="481"/>
      <c r="O3" s="481"/>
      <c r="P3" s="45"/>
      <c r="Q3" s="39"/>
      <c r="R3" s="39"/>
      <c r="S3" s="39"/>
      <c r="T3" s="39" t="s">
        <v>91</v>
      </c>
      <c r="U3" s="39"/>
      <c r="V3" s="39"/>
      <c r="W3" s="39"/>
      <c r="X3" s="39"/>
      <c r="Y3" s="16"/>
      <c r="Z3" s="16"/>
      <c r="AA3" s="16"/>
      <c r="AB3" s="16"/>
      <c r="AC3" s="16"/>
      <c r="AD3" s="16"/>
    </row>
    <row r="4" spans="1:30" ht="25.5" customHeight="1">
      <c r="A4" s="26"/>
      <c r="B4" s="46" t="s">
        <v>98</v>
      </c>
      <c r="C4" s="47"/>
      <c r="D4" s="51"/>
      <c r="E4" s="525" t="s">
        <v>103</v>
      </c>
      <c r="F4" s="513"/>
      <c r="G4" s="514"/>
      <c r="H4" s="526" t="s">
        <v>112</v>
      </c>
      <c r="I4" s="481"/>
      <c r="J4" s="481"/>
      <c r="K4" s="481"/>
      <c r="L4" s="481"/>
      <c r="M4" s="481"/>
      <c r="N4" s="481"/>
      <c r="O4" s="481"/>
      <c r="P4" s="57">
        <v>46286</v>
      </c>
      <c r="Q4" s="39"/>
      <c r="R4" s="39"/>
      <c r="S4" s="39"/>
      <c r="T4" s="39"/>
      <c r="U4" s="39"/>
      <c r="V4" s="39"/>
      <c r="W4" s="39"/>
      <c r="X4" s="39"/>
      <c r="Y4" s="59"/>
      <c r="Z4" s="59"/>
      <c r="AA4" s="59"/>
      <c r="AB4" s="59"/>
      <c r="AC4" s="59"/>
      <c r="AD4" s="16"/>
    </row>
    <row r="5" spans="1:30" ht="21" customHeight="1">
      <c r="A5" s="61"/>
      <c r="B5" s="66"/>
      <c r="C5" s="70"/>
      <c r="D5" s="73" t="s">
        <v>213</v>
      </c>
      <c r="E5" s="527" t="s">
        <v>222</v>
      </c>
      <c r="F5" s="514"/>
      <c r="G5" s="81" t="s">
        <v>245</v>
      </c>
      <c r="H5" s="494" t="s">
        <v>248</v>
      </c>
      <c r="I5" s="495"/>
      <c r="J5" s="496"/>
      <c r="K5" s="494" t="s">
        <v>249</v>
      </c>
      <c r="L5" s="495"/>
      <c r="M5" s="495"/>
      <c r="N5" s="495"/>
      <c r="O5" s="496"/>
      <c r="P5" s="487" t="s">
        <v>250</v>
      </c>
      <c r="Q5" s="497" t="s">
        <v>251</v>
      </c>
      <c r="R5" s="498"/>
      <c r="S5" s="498"/>
      <c r="T5" s="498"/>
      <c r="U5" s="498"/>
      <c r="V5" s="498"/>
      <c r="W5" s="498"/>
      <c r="X5" s="498"/>
      <c r="Y5" s="498"/>
      <c r="Z5" s="498"/>
      <c r="AA5" s="498"/>
      <c r="AB5" s="498"/>
      <c r="AC5" s="499"/>
      <c r="AD5" s="500" t="s">
        <v>261</v>
      </c>
    </row>
    <row r="6" spans="1:30" ht="20.25" customHeight="1">
      <c r="A6" s="100" t="s">
        <v>270</v>
      </c>
      <c r="B6" s="103" t="s">
        <v>10</v>
      </c>
      <c r="C6" s="108" t="s">
        <v>281</v>
      </c>
      <c r="D6" s="503" t="s">
        <v>289</v>
      </c>
      <c r="E6" s="504" t="s">
        <v>307</v>
      </c>
      <c r="F6" s="504" t="s">
        <v>309</v>
      </c>
      <c r="G6" s="533" t="s">
        <v>14</v>
      </c>
      <c r="H6" s="505" t="s">
        <v>311</v>
      </c>
      <c r="I6" s="506"/>
      <c r="J6" s="528" t="s">
        <v>23</v>
      </c>
      <c r="K6" s="529" t="s">
        <v>337</v>
      </c>
      <c r="L6" s="506"/>
      <c r="M6" s="505" t="s">
        <v>340</v>
      </c>
      <c r="N6" s="506"/>
      <c r="O6" s="490" t="s">
        <v>341</v>
      </c>
      <c r="P6" s="488"/>
      <c r="Q6" s="530" t="s">
        <v>61</v>
      </c>
      <c r="R6" s="532" t="s">
        <v>60</v>
      </c>
      <c r="S6" s="532" t="s">
        <v>370</v>
      </c>
      <c r="T6" s="492" t="s">
        <v>93</v>
      </c>
      <c r="U6" s="492" t="s">
        <v>81</v>
      </c>
      <c r="V6" s="492" t="s">
        <v>96</v>
      </c>
      <c r="W6" s="492" t="s">
        <v>94</v>
      </c>
      <c r="X6" s="492" t="s">
        <v>95</v>
      </c>
      <c r="Y6" s="492" t="s">
        <v>394</v>
      </c>
      <c r="Z6" s="492" t="s">
        <v>395</v>
      </c>
      <c r="AA6" s="492" t="s">
        <v>396</v>
      </c>
      <c r="AB6" s="492" t="s">
        <v>397</v>
      </c>
      <c r="AC6" s="492" t="s">
        <v>398</v>
      </c>
      <c r="AD6" s="501"/>
    </row>
    <row r="7" spans="1:30" ht="16.5" customHeight="1">
      <c r="A7" s="141"/>
      <c r="B7" s="144"/>
      <c r="C7" s="146"/>
      <c r="D7" s="502"/>
      <c r="E7" s="502"/>
      <c r="F7" s="502"/>
      <c r="G7" s="502"/>
      <c r="H7" s="147" t="s">
        <v>407</v>
      </c>
      <c r="I7" s="148" t="s">
        <v>408</v>
      </c>
      <c r="J7" s="502"/>
      <c r="K7" s="147" t="s">
        <v>407</v>
      </c>
      <c r="L7" s="148" t="s">
        <v>408</v>
      </c>
      <c r="M7" s="147" t="s">
        <v>407</v>
      </c>
      <c r="N7" s="148" t="s">
        <v>408</v>
      </c>
      <c r="O7" s="491"/>
      <c r="P7" s="489"/>
      <c r="Q7" s="531"/>
      <c r="R7" s="493"/>
      <c r="S7" s="493"/>
      <c r="T7" s="493"/>
      <c r="U7" s="493"/>
      <c r="V7" s="493"/>
      <c r="W7" s="493"/>
      <c r="X7" s="493"/>
      <c r="Y7" s="493"/>
      <c r="Z7" s="493"/>
      <c r="AA7" s="493"/>
      <c r="AB7" s="493"/>
      <c r="AC7" s="493"/>
      <c r="AD7" s="502"/>
    </row>
    <row r="8" spans="1:30" ht="25.5" hidden="1" customHeight="1">
      <c r="A8" s="507">
        <v>1</v>
      </c>
      <c r="B8" s="163" t="s">
        <v>454</v>
      </c>
      <c r="C8" s="164" t="s">
        <v>477</v>
      </c>
      <c r="D8" s="167" t="s">
        <v>478</v>
      </c>
      <c r="E8" s="170">
        <v>46021</v>
      </c>
      <c r="F8" s="170">
        <v>46020</v>
      </c>
      <c r="G8" s="180" t="s">
        <v>482</v>
      </c>
      <c r="H8" s="186" t="s">
        <v>487</v>
      </c>
      <c r="I8" s="186" t="s">
        <v>487</v>
      </c>
      <c r="J8" s="188">
        <v>46029</v>
      </c>
      <c r="K8" s="186" t="s">
        <v>489</v>
      </c>
      <c r="L8" s="186" t="s">
        <v>487</v>
      </c>
      <c r="M8" s="186" t="s">
        <v>490</v>
      </c>
      <c r="N8" s="186" t="s">
        <v>491</v>
      </c>
      <c r="O8" s="188">
        <v>46030</v>
      </c>
      <c r="P8" s="194" t="s">
        <v>492</v>
      </c>
      <c r="Q8" s="197">
        <f>O8+4</f>
        <v>46034</v>
      </c>
      <c r="R8" s="199">
        <f>O8+5</f>
        <v>46035</v>
      </c>
      <c r="S8" s="200"/>
      <c r="T8" s="200"/>
      <c r="U8" s="200"/>
      <c r="V8" s="200"/>
      <c r="W8" s="200"/>
      <c r="X8" s="202"/>
      <c r="Y8" s="200"/>
      <c r="Z8" s="200"/>
      <c r="AA8" s="200"/>
      <c r="AB8" s="200"/>
      <c r="AC8" s="200"/>
      <c r="AD8" s="205" t="s">
        <v>511</v>
      </c>
    </row>
    <row r="9" spans="1:30" ht="25.5" hidden="1" customHeight="1">
      <c r="A9" s="501"/>
      <c r="B9" s="163" t="s">
        <v>204</v>
      </c>
      <c r="C9" s="164" t="s">
        <v>519</v>
      </c>
      <c r="D9" s="167" t="s">
        <v>520</v>
      </c>
      <c r="E9" s="170">
        <v>46028</v>
      </c>
      <c r="F9" s="170">
        <v>46027</v>
      </c>
      <c r="G9" s="209" t="s">
        <v>521</v>
      </c>
      <c r="H9" s="186" t="s">
        <v>525</v>
      </c>
      <c r="I9" s="186" t="s">
        <v>526</v>
      </c>
      <c r="J9" s="188">
        <v>46034</v>
      </c>
      <c r="K9" s="186" t="s">
        <v>525</v>
      </c>
      <c r="L9" s="186" t="s">
        <v>526</v>
      </c>
      <c r="M9" s="186" t="s">
        <v>527</v>
      </c>
      <c r="N9" s="186" t="s">
        <v>528</v>
      </c>
      <c r="O9" s="188">
        <v>46035</v>
      </c>
      <c r="P9" s="194" t="s">
        <v>529</v>
      </c>
      <c r="Q9" s="197">
        <f>O9+7</f>
        <v>46042</v>
      </c>
      <c r="R9" s="199">
        <f>O9+6</f>
        <v>46041</v>
      </c>
      <c r="S9" s="199">
        <f>O9+5</f>
        <v>46040</v>
      </c>
      <c r="T9" s="200"/>
      <c r="U9" s="200"/>
      <c r="V9" s="200"/>
      <c r="W9" s="200"/>
      <c r="X9" s="202"/>
      <c r="Y9" s="200"/>
      <c r="Z9" s="200"/>
      <c r="AA9" s="200"/>
      <c r="AB9" s="200"/>
      <c r="AC9" s="200"/>
      <c r="AD9" s="205" t="s">
        <v>542</v>
      </c>
    </row>
    <row r="10" spans="1:30" ht="25.5" hidden="1" customHeight="1">
      <c r="A10" s="501"/>
      <c r="B10" s="222" t="s">
        <v>65</v>
      </c>
      <c r="C10" s="164" t="s">
        <v>550</v>
      </c>
      <c r="D10" s="223" t="s">
        <v>551</v>
      </c>
      <c r="E10" s="170">
        <v>46028</v>
      </c>
      <c r="F10" s="170">
        <v>46027</v>
      </c>
      <c r="G10" s="180" t="s">
        <v>482</v>
      </c>
      <c r="H10" s="186" t="s">
        <v>556</v>
      </c>
      <c r="I10" s="186" t="s">
        <v>559</v>
      </c>
      <c r="J10" s="188">
        <v>46034</v>
      </c>
      <c r="K10" s="186" t="s">
        <v>556</v>
      </c>
      <c r="L10" s="186" t="s">
        <v>559</v>
      </c>
      <c r="M10" s="186" t="s">
        <v>526</v>
      </c>
      <c r="N10" s="186" t="s">
        <v>561</v>
      </c>
      <c r="O10" s="188">
        <v>46035</v>
      </c>
      <c r="P10" s="194" t="s">
        <v>562</v>
      </c>
      <c r="Q10" s="229"/>
      <c r="R10" s="231"/>
      <c r="S10" s="233">
        <f>O10+4</f>
        <v>46039</v>
      </c>
      <c r="T10" s="233">
        <f>O10+6</f>
        <v>46041</v>
      </c>
      <c r="U10" s="234"/>
      <c r="V10" s="233">
        <f>O10+11</f>
        <v>46046</v>
      </c>
      <c r="W10" s="233">
        <f>O10+13</f>
        <v>46048</v>
      </c>
      <c r="X10" s="231"/>
      <c r="Y10" s="231"/>
      <c r="Z10" s="231"/>
      <c r="AA10" s="231"/>
      <c r="AB10" s="231"/>
      <c r="AC10" s="231"/>
      <c r="AD10" s="237"/>
    </row>
    <row r="11" spans="1:30" ht="25.5" hidden="1" customHeight="1">
      <c r="A11" s="501"/>
      <c r="B11" s="222" t="s">
        <v>39</v>
      </c>
      <c r="C11" s="164" t="s">
        <v>573</v>
      </c>
      <c r="D11" s="223" t="s">
        <v>574</v>
      </c>
      <c r="E11" s="170"/>
      <c r="F11" s="170">
        <v>46018</v>
      </c>
      <c r="G11" s="180" t="s">
        <v>576</v>
      </c>
      <c r="H11" s="186"/>
      <c r="I11" s="188"/>
      <c r="J11" s="188"/>
      <c r="K11" s="186" t="s">
        <v>578</v>
      </c>
      <c r="L11" s="186" t="s">
        <v>489</v>
      </c>
      <c r="M11" s="186" t="s">
        <v>487</v>
      </c>
      <c r="N11" s="186" t="s">
        <v>490</v>
      </c>
      <c r="O11" s="188">
        <v>46029</v>
      </c>
      <c r="P11" s="194" t="s">
        <v>579</v>
      </c>
      <c r="Q11" s="229"/>
      <c r="R11" s="233">
        <f>O11+6</f>
        <v>46035</v>
      </c>
      <c r="S11" s="234"/>
      <c r="T11" s="231"/>
      <c r="U11" s="231"/>
      <c r="V11" s="231"/>
      <c r="W11" s="233"/>
      <c r="X11" s="233"/>
      <c r="Y11" s="233">
        <f>$O11+11</f>
        <v>46040</v>
      </c>
      <c r="Z11" s="233">
        <f>O11+12</f>
        <v>46041</v>
      </c>
      <c r="AA11" s="233">
        <f>O11+13</f>
        <v>46042</v>
      </c>
      <c r="AB11" s="247" t="s">
        <v>599</v>
      </c>
      <c r="AC11" s="247" t="s">
        <v>599</v>
      </c>
      <c r="AD11" s="237" t="s">
        <v>600</v>
      </c>
    </row>
    <row r="12" spans="1:30" ht="25.5" hidden="1" customHeight="1">
      <c r="A12" s="502"/>
      <c r="B12" s="249" t="s">
        <v>62</v>
      </c>
      <c r="C12" s="252" t="s">
        <v>602</v>
      </c>
      <c r="D12" s="253" t="s">
        <v>606</v>
      </c>
      <c r="E12" s="254">
        <v>46028</v>
      </c>
      <c r="F12" s="254">
        <v>46026</v>
      </c>
      <c r="G12" s="259" t="s">
        <v>576</v>
      </c>
      <c r="H12" s="186" t="s">
        <v>490</v>
      </c>
      <c r="I12" s="186" t="s">
        <v>611</v>
      </c>
      <c r="J12" s="188">
        <v>46030</v>
      </c>
      <c r="K12" s="186" t="s">
        <v>490</v>
      </c>
      <c r="L12" s="186" t="s">
        <v>611</v>
      </c>
      <c r="M12" s="186" t="s">
        <v>613</v>
      </c>
      <c r="N12" s="186" t="s">
        <v>614</v>
      </c>
      <c r="O12" s="188">
        <v>46031</v>
      </c>
      <c r="P12" s="261" t="s">
        <v>615</v>
      </c>
      <c r="Q12" s="263"/>
      <c r="R12" s="264"/>
      <c r="S12" s="265">
        <f>O12+4</f>
        <v>46035</v>
      </c>
      <c r="T12" s="264"/>
      <c r="U12" s="264"/>
      <c r="V12" s="264"/>
      <c r="W12" s="265">
        <f>O12+8</f>
        <v>46039</v>
      </c>
      <c r="X12" s="265">
        <f>O12+9</f>
        <v>46040</v>
      </c>
      <c r="Y12" s="264"/>
      <c r="Z12" s="264"/>
      <c r="AA12" s="264"/>
      <c r="AB12" s="264"/>
      <c r="AC12" s="264"/>
      <c r="AD12" s="267"/>
    </row>
    <row r="13" spans="1:30" ht="25.5" hidden="1" customHeight="1">
      <c r="A13" s="507">
        <v>2</v>
      </c>
      <c r="B13" s="163" t="s">
        <v>454</v>
      </c>
      <c r="C13" s="164" t="s">
        <v>625</v>
      </c>
      <c r="D13" s="167" t="s">
        <v>478</v>
      </c>
      <c r="E13" s="170">
        <v>46030</v>
      </c>
      <c r="F13" s="170">
        <v>46029</v>
      </c>
      <c r="G13" s="180" t="s">
        <v>482</v>
      </c>
      <c r="H13" s="186" t="s">
        <v>626</v>
      </c>
      <c r="I13" s="186" t="s">
        <v>628</v>
      </c>
      <c r="J13" s="188">
        <v>46036</v>
      </c>
      <c r="K13" s="186" t="s">
        <v>626</v>
      </c>
      <c r="L13" s="186" t="s">
        <v>628</v>
      </c>
      <c r="M13" s="186" t="s">
        <v>629</v>
      </c>
      <c r="N13" s="186" t="s">
        <v>630</v>
      </c>
      <c r="O13" s="188">
        <v>46037</v>
      </c>
      <c r="P13" s="194" t="s">
        <v>631</v>
      </c>
      <c r="Q13" s="197">
        <f>O13+4</f>
        <v>46041</v>
      </c>
      <c r="R13" s="199">
        <f>O13+5</f>
        <v>46042</v>
      </c>
      <c r="S13" s="200"/>
      <c r="T13" s="200"/>
      <c r="U13" s="200"/>
      <c r="V13" s="200"/>
      <c r="W13" s="200"/>
      <c r="X13" s="202"/>
      <c r="Y13" s="200"/>
      <c r="Z13" s="200"/>
      <c r="AA13" s="200"/>
      <c r="AB13" s="200"/>
      <c r="AC13" s="200"/>
      <c r="AD13" s="205" t="s">
        <v>511</v>
      </c>
    </row>
    <row r="14" spans="1:30" ht="25.5" hidden="1" customHeight="1">
      <c r="A14" s="501"/>
      <c r="B14" s="222" t="s">
        <v>65</v>
      </c>
      <c r="C14" s="164" t="s">
        <v>635</v>
      </c>
      <c r="D14" s="223" t="s">
        <v>551</v>
      </c>
      <c r="E14" s="170">
        <v>46036</v>
      </c>
      <c r="F14" s="170">
        <v>46035</v>
      </c>
      <c r="G14" s="180" t="s">
        <v>482</v>
      </c>
      <c r="H14" s="186" t="s">
        <v>636</v>
      </c>
      <c r="I14" s="186" t="s">
        <v>637</v>
      </c>
      <c r="J14" s="188">
        <v>46040</v>
      </c>
      <c r="K14" s="186" t="s">
        <v>636</v>
      </c>
      <c r="L14" s="186" t="s">
        <v>637</v>
      </c>
      <c r="M14" s="186" t="s">
        <v>638</v>
      </c>
      <c r="N14" s="186" t="s">
        <v>639</v>
      </c>
      <c r="O14" s="188">
        <v>46041</v>
      </c>
      <c r="P14" s="194" t="s">
        <v>640</v>
      </c>
      <c r="Q14" s="229"/>
      <c r="R14" s="231"/>
      <c r="S14" s="233">
        <f>O14+4</f>
        <v>46045</v>
      </c>
      <c r="T14" s="233">
        <f>O14+6</f>
        <v>46047</v>
      </c>
      <c r="U14" s="234"/>
      <c r="V14" s="233">
        <f>O14+11</f>
        <v>46052</v>
      </c>
      <c r="W14" s="233">
        <f>O14+13</f>
        <v>46054</v>
      </c>
      <c r="X14" s="231"/>
      <c r="Y14" s="231"/>
      <c r="Z14" s="231"/>
      <c r="AA14" s="231"/>
      <c r="AB14" s="231"/>
      <c r="AC14" s="231"/>
      <c r="AD14" s="237"/>
    </row>
    <row r="15" spans="1:30" ht="25.5" hidden="1" customHeight="1">
      <c r="A15" s="501"/>
      <c r="B15" s="222" t="s">
        <v>39</v>
      </c>
      <c r="C15" s="164" t="s">
        <v>646</v>
      </c>
      <c r="D15" s="223" t="s">
        <v>574</v>
      </c>
      <c r="E15" s="170"/>
      <c r="F15" s="170">
        <v>46032</v>
      </c>
      <c r="G15" s="180" t="s">
        <v>576</v>
      </c>
      <c r="H15" s="186"/>
      <c r="I15" s="188"/>
      <c r="J15" s="188"/>
      <c r="K15" s="186" t="s">
        <v>650</v>
      </c>
      <c r="L15" s="186" t="s">
        <v>651</v>
      </c>
      <c r="M15" s="186" t="s">
        <v>651</v>
      </c>
      <c r="N15" s="186" t="s">
        <v>652</v>
      </c>
      <c r="O15" s="188">
        <v>46041</v>
      </c>
      <c r="P15" s="194" t="s">
        <v>653</v>
      </c>
      <c r="Q15" s="229"/>
      <c r="R15" s="233">
        <f>O15+6</f>
        <v>46047</v>
      </c>
      <c r="S15" s="234"/>
      <c r="T15" s="231"/>
      <c r="U15" s="231"/>
      <c r="V15" s="231"/>
      <c r="W15" s="233"/>
      <c r="X15" s="233"/>
      <c r="Y15" s="233">
        <f>$O15+11</f>
        <v>46052</v>
      </c>
      <c r="Z15" s="233">
        <f>O15+12</f>
        <v>46053</v>
      </c>
      <c r="AA15" s="233">
        <f>O15+13</f>
        <v>46054</v>
      </c>
      <c r="AB15" s="247" t="s">
        <v>599</v>
      </c>
      <c r="AC15" s="247" t="s">
        <v>599</v>
      </c>
      <c r="AD15" s="237" t="s">
        <v>600</v>
      </c>
    </row>
    <row r="16" spans="1:30" ht="25.5" hidden="1" customHeight="1">
      <c r="A16" s="502"/>
      <c r="B16" s="249" t="s">
        <v>62</v>
      </c>
      <c r="C16" s="252" t="s">
        <v>658</v>
      </c>
      <c r="D16" s="253" t="s">
        <v>662</v>
      </c>
      <c r="E16" s="254">
        <v>46029</v>
      </c>
      <c r="F16" s="254">
        <v>46028</v>
      </c>
      <c r="G16" s="259" t="s">
        <v>664</v>
      </c>
      <c r="H16" s="186" t="s">
        <v>527</v>
      </c>
      <c r="I16" s="186" t="s">
        <v>666</v>
      </c>
      <c r="J16" s="188">
        <v>46036</v>
      </c>
      <c r="K16" s="186" t="s">
        <v>527</v>
      </c>
      <c r="L16" s="186" t="s">
        <v>666</v>
      </c>
      <c r="M16" s="186" t="s">
        <v>629</v>
      </c>
      <c r="N16" s="186" t="s">
        <v>667</v>
      </c>
      <c r="O16" s="188">
        <v>46036</v>
      </c>
      <c r="P16" s="261" t="s">
        <v>668</v>
      </c>
      <c r="Q16" s="263"/>
      <c r="R16" s="264"/>
      <c r="S16" s="265">
        <f>O16+4</f>
        <v>46040</v>
      </c>
      <c r="T16" s="264"/>
      <c r="U16" s="264"/>
      <c r="V16" s="264"/>
      <c r="W16" s="265">
        <f>O16+8</f>
        <v>46044</v>
      </c>
      <c r="X16" s="265">
        <f>O16+9</f>
        <v>46045</v>
      </c>
      <c r="Y16" s="264"/>
      <c r="Z16" s="264"/>
      <c r="AA16" s="264"/>
      <c r="AB16" s="264"/>
      <c r="AC16" s="264"/>
      <c r="AD16" s="267"/>
    </row>
    <row r="17" spans="1:30" ht="25.5" hidden="1" customHeight="1">
      <c r="A17" s="507">
        <v>3</v>
      </c>
      <c r="B17" s="163" t="s">
        <v>454</v>
      </c>
      <c r="C17" s="164" t="s">
        <v>673</v>
      </c>
      <c r="D17" s="167" t="s">
        <v>478</v>
      </c>
      <c r="E17" s="170">
        <v>46038</v>
      </c>
      <c r="F17" s="170">
        <v>46037</v>
      </c>
      <c r="G17" s="180" t="s">
        <v>482</v>
      </c>
      <c r="H17" s="186" t="s">
        <v>676</v>
      </c>
      <c r="I17" s="186" t="s">
        <v>677</v>
      </c>
      <c r="J17" s="188">
        <v>46043</v>
      </c>
      <c r="K17" s="186" t="s">
        <v>676</v>
      </c>
      <c r="L17" s="186" t="s">
        <v>677</v>
      </c>
      <c r="M17" s="186" t="s">
        <v>678</v>
      </c>
      <c r="N17" s="186" t="s">
        <v>679</v>
      </c>
      <c r="O17" s="188">
        <v>46045</v>
      </c>
      <c r="P17" s="194" t="s">
        <v>681</v>
      </c>
      <c r="Q17" s="197">
        <f>O17+4</f>
        <v>46049</v>
      </c>
      <c r="R17" s="199">
        <f>O17+5</f>
        <v>46050</v>
      </c>
      <c r="S17" s="200"/>
      <c r="T17" s="200"/>
      <c r="U17" s="200"/>
      <c r="V17" s="200"/>
      <c r="W17" s="200"/>
      <c r="X17" s="202"/>
      <c r="Y17" s="200"/>
      <c r="Z17" s="200"/>
      <c r="AA17" s="200"/>
      <c r="AB17" s="200"/>
      <c r="AC17" s="200"/>
      <c r="AD17" s="205" t="s">
        <v>511</v>
      </c>
    </row>
    <row r="18" spans="1:30" ht="25.5" hidden="1" customHeight="1">
      <c r="A18" s="501"/>
      <c r="B18" s="163" t="s">
        <v>204</v>
      </c>
      <c r="C18" s="164" t="s">
        <v>683</v>
      </c>
      <c r="D18" s="167" t="s">
        <v>520</v>
      </c>
      <c r="E18" s="288">
        <v>46037</v>
      </c>
      <c r="F18" s="289">
        <v>46035</v>
      </c>
      <c r="G18" s="209" t="s">
        <v>521</v>
      </c>
      <c r="H18" s="186" t="s">
        <v>684</v>
      </c>
      <c r="I18" s="186" t="s">
        <v>685</v>
      </c>
      <c r="J18" s="188">
        <v>46043</v>
      </c>
      <c r="K18" s="186" t="s">
        <v>684</v>
      </c>
      <c r="L18" s="186" t="s">
        <v>685</v>
      </c>
      <c r="M18" s="186" t="s">
        <v>677</v>
      </c>
      <c r="N18" s="186" t="s">
        <v>686</v>
      </c>
      <c r="O18" s="188">
        <v>46043</v>
      </c>
      <c r="P18" s="194" t="s">
        <v>687</v>
      </c>
      <c r="Q18" s="197">
        <f>O18+7</f>
        <v>46050</v>
      </c>
      <c r="R18" s="199">
        <f t="shared" ref="R18:R19" si="0">O18+6</f>
        <v>46049</v>
      </c>
      <c r="S18" s="200"/>
      <c r="T18" s="200"/>
      <c r="U18" s="200"/>
      <c r="V18" s="200"/>
      <c r="W18" s="200"/>
      <c r="X18" s="202"/>
      <c r="Y18" s="200"/>
      <c r="Z18" s="200"/>
      <c r="AA18" s="200"/>
      <c r="AB18" s="200"/>
      <c r="AC18" s="200"/>
      <c r="AD18" s="205" t="s">
        <v>542</v>
      </c>
    </row>
    <row r="19" spans="1:30" ht="25.5" hidden="1" customHeight="1">
      <c r="A19" s="501"/>
      <c r="B19" s="222" t="s">
        <v>39</v>
      </c>
      <c r="C19" s="164" t="s">
        <v>689</v>
      </c>
      <c r="D19" s="223" t="s">
        <v>574</v>
      </c>
      <c r="E19" s="170"/>
      <c r="F19" s="170">
        <v>46037</v>
      </c>
      <c r="G19" s="295" t="s">
        <v>576</v>
      </c>
      <c r="H19" s="186"/>
      <c r="I19" s="188"/>
      <c r="J19" s="188"/>
      <c r="K19" s="186" t="s">
        <v>690</v>
      </c>
      <c r="L19" s="186" t="s">
        <v>691</v>
      </c>
      <c r="M19" s="186" t="s">
        <v>692</v>
      </c>
      <c r="N19" s="186" t="s">
        <v>693</v>
      </c>
      <c r="O19" s="188">
        <v>46048</v>
      </c>
      <c r="P19" s="194" t="s">
        <v>694</v>
      </c>
      <c r="Q19" s="229"/>
      <c r="R19" s="233">
        <f t="shared" si="0"/>
        <v>46054</v>
      </c>
      <c r="S19" s="234"/>
      <c r="T19" s="231"/>
      <c r="U19" s="231"/>
      <c r="V19" s="231"/>
      <c r="W19" s="233"/>
      <c r="X19" s="233"/>
      <c r="Y19" s="233">
        <f>$O19+11</f>
        <v>46059</v>
      </c>
      <c r="Z19" s="233">
        <f>O19+12</f>
        <v>46060</v>
      </c>
      <c r="AA19" s="233">
        <f>O19+13</f>
        <v>46061</v>
      </c>
      <c r="AB19" s="247" t="s">
        <v>599</v>
      </c>
      <c r="AC19" s="247" t="s">
        <v>599</v>
      </c>
      <c r="AD19" s="237" t="s">
        <v>600</v>
      </c>
    </row>
    <row r="20" spans="1:30" ht="25.5" hidden="1" customHeight="1">
      <c r="A20" s="501"/>
      <c r="B20" s="222" t="s">
        <v>65</v>
      </c>
      <c r="C20" s="164" t="s">
        <v>704</v>
      </c>
      <c r="D20" s="223" t="s">
        <v>705</v>
      </c>
      <c r="E20" s="288">
        <v>46047</v>
      </c>
      <c r="F20" s="289">
        <v>46045</v>
      </c>
      <c r="G20" s="295" t="s">
        <v>576</v>
      </c>
      <c r="H20" s="186" t="s">
        <v>709</v>
      </c>
      <c r="I20" s="186" t="s">
        <v>710</v>
      </c>
      <c r="J20" s="188">
        <v>46051</v>
      </c>
      <c r="K20" s="186" t="s">
        <v>709</v>
      </c>
      <c r="L20" s="186" t="s">
        <v>710</v>
      </c>
      <c r="M20" s="186" t="s">
        <v>711</v>
      </c>
      <c r="N20" s="186" t="s">
        <v>712</v>
      </c>
      <c r="O20" s="188">
        <v>46052</v>
      </c>
      <c r="P20" s="194" t="s">
        <v>713</v>
      </c>
      <c r="Q20" s="229"/>
      <c r="R20" s="231"/>
      <c r="S20" s="233">
        <f t="shared" ref="S20:S21" si="1">O20+4</f>
        <v>46056</v>
      </c>
      <c r="T20" s="233">
        <f>O20+6</f>
        <v>46058</v>
      </c>
      <c r="U20" s="234"/>
      <c r="V20" s="233">
        <f>O20+11</f>
        <v>46063</v>
      </c>
      <c r="W20" s="233">
        <f>O20+13</f>
        <v>46065</v>
      </c>
      <c r="X20" s="231"/>
      <c r="Y20" s="231"/>
      <c r="Z20" s="231"/>
      <c r="AA20" s="231"/>
      <c r="AB20" s="231"/>
      <c r="AC20" s="231"/>
      <c r="AD20" s="237"/>
    </row>
    <row r="21" spans="1:30" ht="25.5" hidden="1" customHeight="1">
      <c r="A21" s="502"/>
      <c r="B21" s="249" t="s">
        <v>62</v>
      </c>
      <c r="C21" s="252" t="s">
        <v>717</v>
      </c>
      <c r="D21" s="253" t="s">
        <v>606</v>
      </c>
      <c r="E21" s="254">
        <v>46035</v>
      </c>
      <c r="F21" s="254">
        <v>46034</v>
      </c>
      <c r="G21" s="259" t="s">
        <v>576</v>
      </c>
      <c r="H21" s="186" t="s">
        <v>718</v>
      </c>
      <c r="I21" s="186" t="s">
        <v>650</v>
      </c>
      <c r="J21" s="188">
        <v>46039</v>
      </c>
      <c r="K21" s="186" t="s">
        <v>718</v>
      </c>
      <c r="L21" s="186" t="s">
        <v>650</v>
      </c>
      <c r="M21" s="186" t="s">
        <v>651</v>
      </c>
      <c r="N21" s="186" t="s">
        <v>719</v>
      </c>
      <c r="O21" s="188">
        <v>46040</v>
      </c>
      <c r="P21" s="261" t="s">
        <v>720</v>
      </c>
      <c r="Q21" s="263"/>
      <c r="R21" s="264"/>
      <c r="S21" s="265">
        <f t="shared" si="1"/>
        <v>46044</v>
      </c>
      <c r="T21" s="264"/>
      <c r="U21" s="264"/>
      <c r="V21" s="264"/>
      <c r="W21" s="265">
        <f>O21+8</f>
        <v>46048</v>
      </c>
      <c r="X21" s="265">
        <f>O21+9</f>
        <v>46049</v>
      </c>
      <c r="Y21" s="264"/>
      <c r="Z21" s="264"/>
      <c r="AA21" s="264"/>
      <c r="AB21" s="264"/>
      <c r="AC21" s="264"/>
      <c r="AD21" s="267"/>
    </row>
    <row r="22" spans="1:30" ht="25.5" hidden="1" customHeight="1">
      <c r="A22" s="507">
        <v>4</v>
      </c>
      <c r="B22" s="163" t="s">
        <v>454</v>
      </c>
      <c r="C22" s="164" t="s">
        <v>722</v>
      </c>
      <c r="D22" s="167" t="s">
        <v>478</v>
      </c>
      <c r="E22" s="170">
        <v>46045</v>
      </c>
      <c r="F22" s="170">
        <v>46044</v>
      </c>
      <c r="G22" s="180" t="s">
        <v>482</v>
      </c>
      <c r="H22" s="186" t="s">
        <v>711</v>
      </c>
      <c r="I22" s="186" t="s">
        <v>723</v>
      </c>
      <c r="J22" s="188">
        <v>46052</v>
      </c>
      <c r="K22" s="186" t="s">
        <v>711</v>
      </c>
      <c r="L22" s="186" t="s">
        <v>723</v>
      </c>
      <c r="M22" s="186" t="s">
        <v>724</v>
      </c>
      <c r="N22" s="186" t="s">
        <v>725</v>
      </c>
      <c r="O22" s="188">
        <v>46053</v>
      </c>
      <c r="P22" s="194" t="s">
        <v>726</v>
      </c>
      <c r="Q22" s="197">
        <f>O22+4</f>
        <v>46057</v>
      </c>
      <c r="R22" s="199">
        <f>O22+5</f>
        <v>46058</v>
      </c>
      <c r="S22" s="200"/>
      <c r="T22" s="200"/>
      <c r="U22" s="200"/>
      <c r="V22" s="200"/>
      <c r="W22" s="200"/>
      <c r="X22" s="202"/>
      <c r="Y22" s="200"/>
      <c r="Z22" s="200"/>
      <c r="AA22" s="200"/>
      <c r="AB22" s="200"/>
      <c r="AC22" s="200"/>
      <c r="AD22" s="205" t="s">
        <v>511</v>
      </c>
    </row>
    <row r="23" spans="1:30" ht="25.5" hidden="1" customHeight="1">
      <c r="A23" s="501"/>
      <c r="B23" s="163" t="s">
        <v>204</v>
      </c>
      <c r="C23" s="164" t="s">
        <v>727</v>
      </c>
      <c r="D23" s="167" t="s">
        <v>520</v>
      </c>
      <c r="E23" s="288">
        <v>46043</v>
      </c>
      <c r="F23" s="289">
        <v>46042</v>
      </c>
      <c r="G23" s="209" t="s">
        <v>521</v>
      </c>
      <c r="H23" s="186" t="s">
        <v>728</v>
      </c>
      <c r="I23" s="186" t="s">
        <v>729</v>
      </c>
      <c r="J23" s="188">
        <v>46051</v>
      </c>
      <c r="K23" s="186" t="s">
        <v>728</v>
      </c>
      <c r="L23" s="186" t="s">
        <v>729</v>
      </c>
      <c r="M23" s="186" t="s">
        <v>723</v>
      </c>
      <c r="N23" s="186" t="s">
        <v>730</v>
      </c>
      <c r="O23" s="188">
        <v>46052</v>
      </c>
      <c r="P23" s="194" t="s">
        <v>732</v>
      </c>
      <c r="Q23" s="197">
        <f>O23+7</f>
        <v>46059</v>
      </c>
      <c r="R23" s="199">
        <f t="shared" ref="R23:R24" si="2">O23+6</f>
        <v>46058</v>
      </c>
      <c r="S23" s="199">
        <f>O23+5</f>
        <v>46057</v>
      </c>
      <c r="T23" s="200"/>
      <c r="U23" s="200"/>
      <c r="V23" s="200"/>
      <c r="W23" s="200"/>
      <c r="X23" s="202"/>
      <c r="Y23" s="200"/>
      <c r="Z23" s="200"/>
      <c r="AA23" s="200"/>
      <c r="AB23" s="200"/>
      <c r="AC23" s="200"/>
      <c r="AD23" s="205" t="s">
        <v>542</v>
      </c>
    </row>
    <row r="24" spans="1:30" ht="25.5" hidden="1" customHeight="1">
      <c r="A24" s="501"/>
      <c r="B24" s="222" t="s">
        <v>39</v>
      </c>
      <c r="C24" s="327" t="s">
        <v>735</v>
      </c>
      <c r="D24" s="223" t="s">
        <v>574</v>
      </c>
      <c r="E24" s="170"/>
      <c r="F24" s="289">
        <v>46040</v>
      </c>
      <c r="G24" s="295" t="s">
        <v>576</v>
      </c>
      <c r="H24" s="186"/>
      <c r="I24" s="188"/>
      <c r="J24" s="188"/>
      <c r="K24" s="186" t="s">
        <v>736</v>
      </c>
      <c r="L24" s="186" t="s">
        <v>737</v>
      </c>
      <c r="M24" s="186" t="s">
        <v>738</v>
      </c>
      <c r="N24" s="186" t="s">
        <v>739</v>
      </c>
      <c r="O24" s="188">
        <v>46049</v>
      </c>
      <c r="P24" s="194" t="s">
        <v>740</v>
      </c>
      <c r="Q24" s="229"/>
      <c r="R24" s="233">
        <f t="shared" si="2"/>
        <v>46055</v>
      </c>
      <c r="S24" s="234"/>
      <c r="T24" s="231"/>
      <c r="U24" s="231"/>
      <c r="V24" s="231"/>
      <c r="W24" s="233"/>
      <c r="X24" s="233"/>
      <c r="Y24" s="233">
        <f>$O24+11</f>
        <v>46060</v>
      </c>
      <c r="Z24" s="233">
        <f>O24+12</f>
        <v>46061</v>
      </c>
      <c r="AA24" s="233">
        <f>O24+13</f>
        <v>46062</v>
      </c>
      <c r="AB24" s="247" t="s">
        <v>599</v>
      </c>
      <c r="AC24" s="247" t="s">
        <v>599</v>
      </c>
      <c r="AD24" s="237" t="s">
        <v>600</v>
      </c>
    </row>
    <row r="25" spans="1:30" ht="25.5" hidden="1" customHeight="1">
      <c r="A25" s="502"/>
      <c r="B25" s="249" t="s">
        <v>62</v>
      </c>
      <c r="C25" s="252" t="s">
        <v>743</v>
      </c>
      <c r="D25" s="253" t="s">
        <v>606</v>
      </c>
      <c r="E25" s="254">
        <v>46050</v>
      </c>
      <c r="F25" s="254">
        <v>46049</v>
      </c>
      <c r="G25" s="259" t="s">
        <v>576</v>
      </c>
      <c r="H25" s="186" t="s">
        <v>744</v>
      </c>
      <c r="I25" s="186" t="s">
        <v>745</v>
      </c>
      <c r="J25" s="188">
        <v>46054</v>
      </c>
      <c r="K25" s="186" t="s">
        <v>744</v>
      </c>
      <c r="L25" s="186" t="s">
        <v>745</v>
      </c>
      <c r="M25" s="186" t="s">
        <v>746</v>
      </c>
      <c r="N25" s="186" t="s">
        <v>747</v>
      </c>
      <c r="O25" s="188">
        <v>46055</v>
      </c>
      <c r="P25" s="261" t="s">
        <v>748</v>
      </c>
      <c r="Q25" s="263"/>
      <c r="R25" s="264"/>
      <c r="S25" s="265">
        <f>O25+4</f>
        <v>46059</v>
      </c>
      <c r="T25" s="264"/>
      <c r="U25" s="264"/>
      <c r="V25" s="264"/>
      <c r="W25" s="265">
        <f>O25+8</f>
        <v>46063</v>
      </c>
      <c r="X25" s="265">
        <f>O25+9</f>
        <v>46064</v>
      </c>
      <c r="Y25" s="264"/>
      <c r="Z25" s="264"/>
      <c r="AA25" s="264"/>
      <c r="AB25" s="264"/>
      <c r="AC25" s="264"/>
      <c r="AD25" s="267"/>
    </row>
    <row r="26" spans="1:30" ht="25.5" hidden="1" customHeight="1">
      <c r="A26" s="507">
        <v>5</v>
      </c>
      <c r="B26" s="163" t="s">
        <v>454</v>
      </c>
      <c r="C26" s="164" t="s">
        <v>749</v>
      </c>
      <c r="D26" s="167" t="s">
        <v>478</v>
      </c>
      <c r="E26" s="288">
        <v>46054</v>
      </c>
      <c r="F26" s="289">
        <v>46053</v>
      </c>
      <c r="G26" s="180" t="s">
        <v>482</v>
      </c>
      <c r="H26" s="186" t="s">
        <v>750</v>
      </c>
      <c r="I26" s="186" t="s">
        <v>751</v>
      </c>
      <c r="J26" s="188">
        <v>46064</v>
      </c>
      <c r="K26" s="186" t="s">
        <v>750</v>
      </c>
      <c r="L26" s="186" t="s">
        <v>751</v>
      </c>
      <c r="M26" s="186" t="s">
        <v>752</v>
      </c>
      <c r="N26" s="186" t="s">
        <v>753</v>
      </c>
      <c r="O26" s="188">
        <v>46065</v>
      </c>
      <c r="P26" s="194" t="s">
        <v>754</v>
      </c>
      <c r="Q26" s="197">
        <f>O26+4</f>
        <v>46069</v>
      </c>
      <c r="R26" s="199">
        <f>O26+5</f>
        <v>46070</v>
      </c>
      <c r="S26" s="200"/>
      <c r="T26" s="200"/>
      <c r="U26" s="200"/>
      <c r="V26" s="200"/>
      <c r="W26" s="200"/>
      <c r="X26" s="202"/>
      <c r="Y26" s="200"/>
      <c r="Z26" s="200"/>
      <c r="AA26" s="200"/>
      <c r="AB26" s="200"/>
      <c r="AC26" s="200"/>
      <c r="AD26" s="205" t="s">
        <v>755</v>
      </c>
    </row>
    <row r="27" spans="1:30" ht="25.5" hidden="1" customHeight="1">
      <c r="A27" s="501"/>
      <c r="B27" s="163" t="s">
        <v>204</v>
      </c>
      <c r="C27" s="164" t="s">
        <v>756</v>
      </c>
      <c r="D27" s="167" t="s">
        <v>520</v>
      </c>
      <c r="E27" s="288">
        <v>46052</v>
      </c>
      <c r="F27" s="289">
        <v>46051</v>
      </c>
      <c r="G27" s="209" t="s">
        <v>521</v>
      </c>
      <c r="H27" s="186" t="s">
        <v>757</v>
      </c>
      <c r="I27" s="186" t="s">
        <v>758</v>
      </c>
      <c r="J27" s="188">
        <v>46060</v>
      </c>
      <c r="K27" s="186" t="s">
        <v>757</v>
      </c>
      <c r="L27" s="186" t="s">
        <v>758</v>
      </c>
      <c r="M27" s="186" t="s">
        <v>759</v>
      </c>
      <c r="N27" s="186" t="s">
        <v>760</v>
      </c>
      <c r="O27" s="188">
        <v>46061</v>
      </c>
      <c r="P27" s="194" t="s">
        <v>761</v>
      </c>
      <c r="Q27" s="197">
        <f>O27+7</f>
        <v>46068</v>
      </c>
      <c r="R27" s="199">
        <f>O27+6</f>
        <v>46067</v>
      </c>
      <c r="S27" s="200"/>
      <c r="T27" s="200"/>
      <c r="U27" s="200"/>
      <c r="V27" s="200"/>
      <c r="W27" s="200"/>
      <c r="X27" s="202"/>
      <c r="Y27" s="200"/>
      <c r="Z27" s="200"/>
      <c r="AA27" s="200"/>
      <c r="AB27" s="200"/>
      <c r="AC27" s="200"/>
      <c r="AD27" s="205" t="s">
        <v>542</v>
      </c>
    </row>
    <row r="28" spans="1:30" ht="25.5" hidden="1" customHeight="1">
      <c r="A28" s="501"/>
      <c r="B28" s="222" t="s">
        <v>65</v>
      </c>
      <c r="C28" s="164" t="s">
        <v>762</v>
      </c>
      <c r="D28" s="223" t="s">
        <v>705</v>
      </c>
      <c r="E28" s="288">
        <v>46055</v>
      </c>
      <c r="F28" s="289">
        <v>46054</v>
      </c>
      <c r="G28" s="329" t="s">
        <v>576</v>
      </c>
      <c r="H28" s="330" t="s">
        <v>763</v>
      </c>
      <c r="I28" s="186" t="s">
        <v>764</v>
      </c>
      <c r="J28" s="188">
        <v>46062</v>
      </c>
      <c r="K28" s="330" t="s">
        <v>763</v>
      </c>
      <c r="L28" s="186" t="s">
        <v>764</v>
      </c>
      <c r="M28" s="330" t="s">
        <v>750</v>
      </c>
      <c r="N28" s="186" t="s">
        <v>765</v>
      </c>
      <c r="O28" s="188">
        <v>46063</v>
      </c>
      <c r="P28" s="194" t="s">
        <v>766</v>
      </c>
      <c r="Q28" s="229"/>
      <c r="R28" s="231"/>
      <c r="S28" s="233">
        <f t="shared" ref="S28:S29" si="3">O28+4</f>
        <v>46067</v>
      </c>
      <c r="T28" s="233">
        <f>O28+6</f>
        <v>46069</v>
      </c>
      <c r="U28" s="234"/>
      <c r="V28" s="233">
        <f>O28+11</f>
        <v>46074</v>
      </c>
      <c r="W28" s="233">
        <f>O28+13</f>
        <v>46076</v>
      </c>
      <c r="X28" s="231"/>
      <c r="Y28" s="231"/>
      <c r="Z28" s="231"/>
      <c r="AA28" s="231"/>
      <c r="AB28" s="231"/>
      <c r="AC28" s="231"/>
      <c r="AD28" s="237"/>
    </row>
    <row r="29" spans="1:30" ht="25.5" hidden="1" customHeight="1">
      <c r="A29" s="502"/>
      <c r="B29" s="332" t="s">
        <v>62</v>
      </c>
      <c r="C29" s="333" t="s">
        <v>767</v>
      </c>
      <c r="D29" s="334" t="s">
        <v>606</v>
      </c>
      <c r="E29" s="335">
        <v>46054</v>
      </c>
      <c r="F29" s="335">
        <v>46053</v>
      </c>
      <c r="G29" s="259" t="s">
        <v>576</v>
      </c>
      <c r="H29" s="336" t="s">
        <v>768</v>
      </c>
      <c r="I29" s="336" t="s">
        <v>769</v>
      </c>
      <c r="J29" s="337">
        <v>46058</v>
      </c>
      <c r="K29" s="336" t="s">
        <v>768</v>
      </c>
      <c r="L29" s="336" t="s">
        <v>769</v>
      </c>
      <c r="M29" s="336" t="s">
        <v>770</v>
      </c>
      <c r="N29" s="336" t="s">
        <v>771</v>
      </c>
      <c r="O29" s="337">
        <v>46059</v>
      </c>
      <c r="P29" s="261" t="s">
        <v>772</v>
      </c>
      <c r="Q29" s="263"/>
      <c r="R29" s="264"/>
      <c r="S29" s="265">
        <f t="shared" si="3"/>
        <v>46063</v>
      </c>
      <c r="T29" s="264"/>
      <c r="U29" s="264"/>
      <c r="V29" s="264"/>
      <c r="W29" s="265">
        <f>O29+8</f>
        <v>46067</v>
      </c>
      <c r="X29" s="265">
        <f>O29+9</f>
        <v>46068</v>
      </c>
      <c r="Y29" s="264"/>
      <c r="Z29" s="264"/>
      <c r="AA29" s="264"/>
      <c r="AB29" s="264"/>
      <c r="AC29" s="264"/>
      <c r="AD29" s="267"/>
    </row>
    <row r="30" spans="1:30" ht="25.5" hidden="1" customHeight="1">
      <c r="A30" s="507">
        <v>6</v>
      </c>
      <c r="B30" s="338" t="s">
        <v>454</v>
      </c>
      <c r="C30" s="339" t="s">
        <v>773</v>
      </c>
      <c r="D30" s="340" t="s">
        <v>478</v>
      </c>
      <c r="E30" s="342">
        <v>46067</v>
      </c>
      <c r="F30" s="343">
        <v>46066</v>
      </c>
      <c r="G30" s="344" t="s">
        <v>482</v>
      </c>
      <c r="H30" s="186" t="s">
        <v>774</v>
      </c>
      <c r="I30" s="186" t="s">
        <v>775</v>
      </c>
      <c r="J30" s="188">
        <v>46072</v>
      </c>
      <c r="K30" s="186" t="s">
        <v>774</v>
      </c>
      <c r="L30" s="186" t="s">
        <v>776</v>
      </c>
      <c r="M30" s="186" t="s">
        <v>777</v>
      </c>
      <c r="N30" s="186" t="s">
        <v>778</v>
      </c>
      <c r="O30" s="188">
        <v>46073</v>
      </c>
      <c r="P30" s="345" t="s">
        <v>779</v>
      </c>
      <c r="Q30" s="346">
        <f>O30+4</f>
        <v>46077</v>
      </c>
      <c r="R30" s="347">
        <f t="shared" ref="R30:R31" si="4">O30+5</f>
        <v>46078</v>
      </c>
      <c r="S30" s="348"/>
      <c r="T30" s="348"/>
      <c r="U30" s="348"/>
      <c r="V30" s="348"/>
      <c r="W30" s="348"/>
      <c r="X30" s="349"/>
      <c r="Y30" s="348"/>
      <c r="Z30" s="348"/>
      <c r="AA30" s="348"/>
      <c r="AB30" s="348"/>
      <c r="AC30" s="348"/>
      <c r="AD30" s="205" t="s">
        <v>755</v>
      </c>
    </row>
    <row r="31" spans="1:30" ht="25.5" hidden="1" customHeight="1">
      <c r="A31" s="501"/>
      <c r="B31" s="163" t="s">
        <v>204</v>
      </c>
      <c r="C31" s="164" t="s">
        <v>780</v>
      </c>
      <c r="D31" s="167" t="s">
        <v>520</v>
      </c>
      <c r="E31" s="288">
        <v>46060</v>
      </c>
      <c r="F31" s="289">
        <v>46059</v>
      </c>
      <c r="G31" s="209" t="s">
        <v>521</v>
      </c>
      <c r="H31" s="186" t="s">
        <v>781</v>
      </c>
      <c r="I31" s="186" t="s">
        <v>782</v>
      </c>
      <c r="J31" s="188">
        <v>46069</v>
      </c>
      <c r="K31" s="186" t="s">
        <v>781</v>
      </c>
      <c r="L31" s="186" t="s">
        <v>782</v>
      </c>
      <c r="M31" s="186" t="s">
        <v>783</v>
      </c>
      <c r="N31" s="186" t="s">
        <v>784</v>
      </c>
      <c r="O31" s="188">
        <v>46070</v>
      </c>
      <c r="P31" s="194" t="s">
        <v>785</v>
      </c>
      <c r="Q31" s="197">
        <f>O31+7</f>
        <v>46077</v>
      </c>
      <c r="R31" s="199">
        <f t="shared" si="4"/>
        <v>46075</v>
      </c>
      <c r="S31" s="199">
        <f>O31+6</f>
        <v>46076</v>
      </c>
      <c r="T31" s="200"/>
      <c r="U31" s="200"/>
      <c r="V31" s="200"/>
      <c r="W31" s="200"/>
      <c r="X31" s="202"/>
      <c r="Y31" s="200"/>
      <c r="Z31" s="200"/>
      <c r="AA31" s="200"/>
      <c r="AB31" s="200"/>
      <c r="AC31" s="200"/>
      <c r="AD31" s="205" t="s">
        <v>542</v>
      </c>
    </row>
    <row r="32" spans="1:30" ht="25.5" hidden="1" customHeight="1">
      <c r="A32" s="501"/>
      <c r="B32" s="222" t="s">
        <v>65</v>
      </c>
      <c r="C32" s="164" t="s">
        <v>786</v>
      </c>
      <c r="D32" s="223" t="s">
        <v>551</v>
      </c>
      <c r="E32" s="288">
        <v>46062</v>
      </c>
      <c r="F32" s="170">
        <v>46061</v>
      </c>
      <c r="G32" s="180" t="s">
        <v>482</v>
      </c>
      <c r="H32" s="186" t="s">
        <v>781</v>
      </c>
      <c r="I32" s="186" t="s">
        <v>787</v>
      </c>
      <c r="J32" s="188">
        <v>46070</v>
      </c>
      <c r="K32" s="186" t="s">
        <v>781</v>
      </c>
      <c r="L32" s="186" t="s">
        <v>787</v>
      </c>
      <c r="M32" s="186" t="s">
        <v>774</v>
      </c>
      <c r="N32" s="186" t="s">
        <v>788</v>
      </c>
      <c r="O32" s="188">
        <v>46070</v>
      </c>
      <c r="P32" s="350" t="s">
        <v>789</v>
      </c>
      <c r="Q32" s="229"/>
      <c r="R32" s="231"/>
      <c r="S32" s="233">
        <f t="shared" ref="S32:S33" si="5">O32+4</f>
        <v>46074</v>
      </c>
      <c r="T32" s="233">
        <f>O32+6</f>
        <v>46076</v>
      </c>
      <c r="U32" s="234"/>
      <c r="V32" s="233">
        <f>O32+11</f>
        <v>46081</v>
      </c>
      <c r="W32" s="233">
        <f>O32+13</f>
        <v>46083</v>
      </c>
      <c r="X32" s="231"/>
      <c r="Y32" s="231"/>
      <c r="Z32" s="231"/>
      <c r="AA32" s="231"/>
      <c r="AB32" s="231"/>
      <c r="AC32" s="231"/>
      <c r="AD32" s="237"/>
    </row>
    <row r="33" spans="1:30" ht="25.5" hidden="1" customHeight="1">
      <c r="A33" s="502"/>
      <c r="B33" s="351" t="s">
        <v>62</v>
      </c>
      <c r="C33" s="352" t="s">
        <v>790</v>
      </c>
      <c r="D33" s="353" t="s">
        <v>606</v>
      </c>
      <c r="E33" s="354">
        <v>46056</v>
      </c>
      <c r="F33" s="354">
        <v>46055</v>
      </c>
      <c r="G33" s="355" t="s">
        <v>576</v>
      </c>
      <c r="H33" s="356" t="s">
        <v>759</v>
      </c>
      <c r="I33" s="356" t="s">
        <v>791</v>
      </c>
      <c r="J33" s="357">
        <v>46061</v>
      </c>
      <c r="K33" s="356" t="s">
        <v>759</v>
      </c>
      <c r="L33" s="356" t="s">
        <v>791</v>
      </c>
      <c r="M33" s="356" t="s">
        <v>792</v>
      </c>
      <c r="N33" s="356" t="s">
        <v>793</v>
      </c>
      <c r="O33" s="357">
        <v>46062</v>
      </c>
      <c r="P33" s="358" t="s">
        <v>794</v>
      </c>
      <c r="Q33" s="359"/>
      <c r="R33" s="363"/>
      <c r="S33" s="364">
        <f t="shared" si="5"/>
        <v>46066</v>
      </c>
      <c r="T33" s="363"/>
      <c r="U33" s="363"/>
      <c r="V33" s="363"/>
      <c r="W33" s="364">
        <f>O33+8</f>
        <v>46070</v>
      </c>
      <c r="X33" s="364">
        <f>O33+9</f>
        <v>46071</v>
      </c>
      <c r="Y33" s="363"/>
      <c r="Z33" s="363"/>
      <c r="AA33" s="363"/>
      <c r="AB33" s="363"/>
      <c r="AC33" s="363"/>
      <c r="AD33" s="365"/>
    </row>
    <row r="34" spans="1:30" ht="25.5" hidden="1" customHeight="1">
      <c r="A34" s="507">
        <v>7</v>
      </c>
      <c r="B34" s="338" t="s">
        <v>454</v>
      </c>
      <c r="C34" s="339" t="s">
        <v>795</v>
      </c>
      <c r="D34" s="340" t="s">
        <v>478</v>
      </c>
      <c r="E34" s="342">
        <v>46074</v>
      </c>
      <c r="F34" s="343">
        <v>46073</v>
      </c>
      <c r="G34" s="344" t="s">
        <v>482</v>
      </c>
      <c r="H34" s="186" t="s">
        <v>796</v>
      </c>
      <c r="I34" s="186" t="s">
        <v>797</v>
      </c>
      <c r="J34" s="188">
        <v>46082</v>
      </c>
      <c r="K34" s="186" t="s">
        <v>796</v>
      </c>
      <c r="L34" s="186" t="s">
        <v>797</v>
      </c>
      <c r="M34" s="186" t="s">
        <v>798</v>
      </c>
      <c r="N34" s="186" t="s">
        <v>799</v>
      </c>
      <c r="O34" s="188">
        <v>46083</v>
      </c>
      <c r="P34" s="345" t="s">
        <v>800</v>
      </c>
      <c r="Q34" s="346">
        <f>O34+4</f>
        <v>46087</v>
      </c>
      <c r="R34" s="347">
        <f>O34+5</f>
        <v>46088</v>
      </c>
      <c r="S34" s="348"/>
      <c r="T34" s="348"/>
      <c r="U34" s="348"/>
      <c r="V34" s="348"/>
      <c r="W34" s="348"/>
      <c r="X34" s="349"/>
      <c r="Y34" s="348"/>
      <c r="Z34" s="348"/>
      <c r="AA34" s="348"/>
      <c r="AB34" s="348"/>
      <c r="AC34" s="348"/>
      <c r="AD34" s="205" t="s">
        <v>755</v>
      </c>
    </row>
    <row r="35" spans="1:30" ht="25.5" hidden="1" customHeight="1">
      <c r="A35" s="501"/>
      <c r="B35" s="163" t="s">
        <v>65</v>
      </c>
      <c r="C35" s="164" t="s">
        <v>801</v>
      </c>
      <c r="D35" s="167" t="s">
        <v>705</v>
      </c>
      <c r="E35" s="170">
        <v>46072</v>
      </c>
      <c r="F35" s="170">
        <v>46070</v>
      </c>
      <c r="G35" s="180" t="s">
        <v>576</v>
      </c>
      <c r="H35" s="186" t="s">
        <v>802</v>
      </c>
      <c r="I35" s="186" t="s">
        <v>803</v>
      </c>
      <c r="J35" s="188">
        <v>46076</v>
      </c>
      <c r="K35" s="186" t="s">
        <v>802</v>
      </c>
      <c r="L35" s="186" t="s">
        <v>803</v>
      </c>
      <c r="M35" s="186" t="s">
        <v>804</v>
      </c>
      <c r="N35" s="186" t="s">
        <v>805</v>
      </c>
      <c r="O35" s="188">
        <v>46077</v>
      </c>
      <c r="P35" s="194" t="s">
        <v>806</v>
      </c>
      <c r="Q35" s="229"/>
      <c r="R35" s="231"/>
      <c r="S35" s="233">
        <f t="shared" ref="S35:S36" si="6">O35+4</f>
        <v>46081</v>
      </c>
      <c r="T35" s="233">
        <f>O35+6</f>
        <v>46083</v>
      </c>
      <c r="U35" s="234"/>
      <c r="V35" s="233">
        <f>O35+11</f>
        <v>46088</v>
      </c>
      <c r="W35" s="233">
        <f>O35+13</f>
        <v>46090</v>
      </c>
      <c r="X35" s="231"/>
      <c r="Y35" s="231"/>
      <c r="Z35" s="231"/>
      <c r="AA35" s="231"/>
      <c r="AB35" s="231"/>
      <c r="AC35" s="231"/>
      <c r="AD35" s="237"/>
    </row>
    <row r="36" spans="1:30" ht="25.5" hidden="1" customHeight="1">
      <c r="A36" s="502"/>
      <c r="B36" s="249" t="s">
        <v>62</v>
      </c>
      <c r="C36" s="252" t="s">
        <v>807</v>
      </c>
      <c r="D36" s="253" t="s">
        <v>606</v>
      </c>
      <c r="E36" s="288">
        <v>46071</v>
      </c>
      <c r="F36" s="170">
        <v>46070</v>
      </c>
      <c r="G36" s="259" t="s">
        <v>576</v>
      </c>
      <c r="H36" s="186" t="s">
        <v>808</v>
      </c>
      <c r="I36" s="186" t="s">
        <v>809</v>
      </c>
      <c r="J36" s="188">
        <v>46076</v>
      </c>
      <c r="K36" s="186" t="s">
        <v>808</v>
      </c>
      <c r="L36" s="186" t="s">
        <v>809</v>
      </c>
      <c r="M36" s="186" t="s">
        <v>804</v>
      </c>
      <c r="N36" s="186" t="s">
        <v>810</v>
      </c>
      <c r="O36" s="188">
        <v>46077</v>
      </c>
      <c r="P36" s="261" t="s">
        <v>811</v>
      </c>
      <c r="Q36" s="263"/>
      <c r="R36" s="264"/>
      <c r="S36" s="265">
        <f t="shared" si="6"/>
        <v>46081</v>
      </c>
      <c r="T36" s="264"/>
      <c r="U36" s="264"/>
      <c r="V36" s="264"/>
      <c r="W36" s="265">
        <f>O36+8</f>
        <v>46085</v>
      </c>
      <c r="X36" s="265">
        <f>O36+9</f>
        <v>46086</v>
      </c>
      <c r="Y36" s="264"/>
      <c r="Z36" s="264"/>
      <c r="AA36" s="264"/>
      <c r="AB36" s="264"/>
      <c r="AC36" s="264"/>
      <c r="AD36" s="267"/>
    </row>
    <row r="37" spans="1:30" ht="25.5" hidden="1" customHeight="1">
      <c r="A37" s="507">
        <v>8</v>
      </c>
      <c r="B37" s="163" t="s">
        <v>454</v>
      </c>
      <c r="C37" s="164" t="s">
        <v>812</v>
      </c>
      <c r="D37" s="167" t="s">
        <v>478</v>
      </c>
      <c r="E37" s="342">
        <v>46082</v>
      </c>
      <c r="F37" s="343">
        <v>46081</v>
      </c>
      <c r="G37" s="344" t="s">
        <v>482</v>
      </c>
      <c r="H37" s="186" t="s">
        <v>813</v>
      </c>
      <c r="I37" s="186" t="s">
        <v>814</v>
      </c>
      <c r="J37" s="188">
        <v>46087</v>
      </c>
      <c r="K37" s="186" t="s">
        <v>813</v>
      </c>
      <c r="L37" s="186" t="s">
        <v>814</v>
      </c>
      <c r="M37" s="186" t="s">
        <v>815</v>
      </c>
      <c r="N37" s="186" t="s">
        <v>816</v>
      </c>
      <c r="O37" s="188">
        <v>46088</v>
      </c>
      <c r="P37" s="194" t="s">
        <v>817</v>
      </c>
      <c r="Q37" s="197">
        <f>O37+4</f>
        <v>46092</v>
      </c>
      <c r="R37" s="199">
        <f>O37+5</f>
        <v>46093</v>
      </c>
      <c r="S37" s="200"/>
      <c r="T37" s="200"/>
      <c r="U37" s="200"/>
      <c r="V37" s="200"/>
      <c r="W37" s="200"/>
      <c r="X37" s="202"/>
      <c r="Y37" s="200"/>
      <c r="Z37" s="200"/>
      <c r="AA37" s="200"/>
      <c r="AB37" s="200"/>
      <c r="AC37" s="200"/>
      <c r="AD37" s="205" t="s">
        <v>755</v>
      </c>
    </row>
    <row r="38" spans="1:30" ht="25.5" hidden="1" customHeight="1">
      <c r="A38" s="501"/>
      <c r="B38" s="163" t="s">
        <v>204</v>
      </c>
      <c r="C38" s="164" t="s">
        <v>818</v>
      </c>
      <c r="D38" s="167" t="s">
        <v>520</v>
      </c>
      <c r="E38" s="288">
        <v>46069</v>
      </c>
      <c r="F38" s="289">
        <v>46067</v>
      </c>
      <c r="G38" s="209" t="s">
        <v>521</v>
      </c>
      <c r="H38" s="186" t="s">
        <v>819</v>
      </c>
      <c r="I38" s="186" t="s">
        <v>808</v>
      </c>
      <c r="J38" s="188">
        <v>46075</v>
      </c>
      <c r="K38" s="186" t="s">
        <v>819</v>
      </c>
      <c r="L38" s="186" t="s">
        <v>808</v>
      </c>
      <c r="M38" s="186" t="s">
        <v>820</v>
      </c>
      <c r="N38" s="186" t="s">
        <v>821</v>
      </c>
      <c r="O38" s="188">
        <v>46077</v>
      </c>
      <c r="P38" s="194" t="s">
        <v>822</v>
      </c>
      <c r="Q38" s="197">
        <f>O38+7</f>
        <v>46084</v>
      </c>
      <c r="R38" s="199">
        <f>O38+6</f>
        <v>46083</v>
      </c>
      <c r="S38" s="200"/>
      <c r="T38" s="200"/>
      <c r="U38" s="200"/>
      <c r="V38" s="200"/>
      <c r="W38" s="200"/>
      <c r="X38" s="202"/>
      <c r="Y38" s="200"/>
      <c r="Z38" s="200"/>
      <c r="AA38" s="200"/>
      <c r="AB38" s="200"/>
      <c r="AC38" s="200"/>
      <c r="AD38" s="205" t="s">
        <v>542</v>
      </c>
    </row>
    <row r="39" spans="1:30" ht="25.5" hidden="1" customHeight="1">
      <c r="A39" s="501"/>
      <c r="B39" s="222" t="s">
        <v>65</v>
      </c>
      <c r="C39" s="164" t="s">
        <v>823</v>
      </c>
      <c r="D39" s="223" t="s">
        <v>705</v>
      </c>
      <c r="E39" s="170">
        <v>46082</v>
      </c>
      <c r="F39" s="170">
        <v>46081</v>
      </c>
      <c r="G39" s="295" t="s">
        <v>576</v>
      </c>
      <c r="H39" s="186" t="s">
        <v>824</v>
      </c>
      <c r="I39" s="186" t="s">
        <v>813</v>
      </c>
      <c r="J39" s="188">
        <v>46086</v>
      </c>
      <c r="K39" s="186" t="s">
        <v>824</v>
      </c>
      <c r="L39" s="186" t="s">
        <v>813</v>
      </c>
      <c r="M39" s="186" t="s">
        <v>825</v>
      </c>
      <c r="N39" s="186" t="s">
        <v>826</v>
      </c>
      <c r="O39" s="188">
        <v>46088</v>
      </c>
      <c r="P39" s="194" t="s">
        <v>827</v>
      </c>
      <c r="Q39" s="229"/>
      <c r="R39" s="231"/>
      <c r="S39" s="233">
        <f t="shared" ref="S39:S40" si="7">O39+4</f>
        <v>46092</v>
      </c>
      <c r="T39" s="233">
        <f>O39+6</f>
        <v>46094</v>
      </c>
      <c r="U39" s="234"/>
      <c r="V39" s="233">
        <f>O39+11</f>
        <v>46099</v>
      </c>
      <c r="W39" s="233">
        <f>O39+13</f>
        <v>46101</v>
      </c>
      <c r="X39" s="231"/>
      <c r="Y39" s="231"/>
      <c r="Z39" s="231"/>
      <c r="AA39" s="231"/>
      <c r="AB39" s="231"/>
      <c r="AC39" s="371"/>
      <c r="AD39" s="372"/>
    </row>
    <row r="40" spans="1:30" ht="25.5" hidden="1" customHeight="1">
      <c r="A40" s="502"/>
      <c r="B40" s="249" t="s">
        <v>62</v>
      </c>
      <c r="C40" s="252" t="s">
        <v>828</v>
      </c>
      <c r="D40" s="253" t="s">
        <v>606</v>
      </c>
      <c r="E40" s="288">
        <v>46074</v>
      </c>
      <c r="F40" s="170">
        <v>46073</v>
      </c>
      <c r="G40" s="259" t="s">
        <v>576</v>
      </c>
      <c r="H40" s="186" t="s">
        <v>829</v>
      </c>
      <c r="I40" s="186" t="s">
        <v>830</v>
      </c>
      <c r="J40" s="188">
        <v>46078</v>
      </c>
      <c r="K40" s="186" t="s">
        <v>829</v>
      </c>
      <c r="L40" s="186" t="s">
        <v>830</v>
      </c>
      <c r="M40" s="186" t="s">
        <v>831</v>
      </c>
      <c r="N40" s="186" t="s">
        <v>832</v>
      </c>
      <c r="O40" s="188">
        <v>46079</v>
      </c>
      <c r="P40" s="261" t="s">
        <v>833</v>
      </c>
      <c r="Q40" s="263"/>
      <c r="R40" s="264"/>
      <c r="S40" s="265">
        <f t="shared" si="7"/>
        <v>46083</v>
      </c>
      <c r="T40" s="264"/>
      <c r="U40" s="264"/>
      <c r="V40" s="264"/>
      <c r="W40" s="265">
        <f>O40+8</f>
        <v>46087</v>
      </c>
      <c r="X40" s="265">
        <f>O40+9</f>
        <v>46088</v>
      </c>
      <c r="Y40" s="264"/>
      <c r="Z40" s="264"/>
      <c r="AA40" s="264"/>
      <c r="AB40" s="264"/>
      <c r="AC40" s="264"/>
      <c r="AD40" s="267"/>
    </row>
    <row r="41" spans="1:30" ht="25.5" hidden="1" customHeight="1">
      <c r="A41" s="507">
        <v>9</v>
      </c>
      <c r="B41" s="163" t="s">
        <v>204</v>
      </c>
      <c r="C41" s="164" t="s">
        <v>834</v>
      </c>
      <c r="D41" s="167" t="s">
        <v>520</v>
      </c>
      <c r="E41" s="342">
        <v>46079</v>
      </c>
      <c r="F41" s="343">
        <v>46078</v>
      </c>
      <c r="G41" s="209" t="s">
        <v>521</v>
      </c>
      <c r="H41" s="186" t="s">
        <v>835</v>
      </c>
      <c r="I41" s="186" t="s">
        <v>836</v>
      </c>
      <c r="J41" s="188">
        <v>46084</v>
      </c>
      <c r="K41" s="186" t="s">
        <v>835</v>
      </c>
      <c r="L41" s="186" t="s">
        <v>836</v>
      </c>
      <c r="M41" s="186" t="s">
        <v>837</v>
      </c>
      <c r="N41" s="186" t="s">
        <v>838</v>
      </c>
      <c r="O41" s="188">
        <v>46085</v>
      </c>
      <c r="P41" s="194" t="s">
        <v>839</v>
      </c>
      <c r="Q41" s="197">
        <f>O41+7</f>
        <v>46092</v>
      </c>
      <c r="R41" s="199">
        <f>O41+6</f>
        <v>46091</v>
      </c>
      <c r="S41" s="199">
        <f t="shared" ref="S41:S42" si="8">O41+5</f>
        <v>46090</v>
      </c>
      <c r="T41" s="200"/>
      <c r="U41" s="200"/>
      <c r="V41" s="200"/>
      <c r="W41" s="200"/>
      <c r="X41" s="202"/>
      <c r="Y41" s="200"/>
      <c r="Z41" s="200"/>
      <c r="AA41" s="200"/>
      <c r="AB41" s="200"/>
      <c r="AC41" s="200"/>
      <c r="AD41" s="205" t="s">
        <v>542</v>
      </c>
    </row>
    <row r="42" spans="1:30" ht="25.5" hidden="1" customHeight="1">
      <c r="A42" s="501"/>
      <c r="B42" s="222" t="s">
        <v>65</v>
      </c>
      <c r="C42" s="164" t="s">
        <v>840</v>
      </c>
      <c r="D42" s="223" t="s">
        <v>705</v>
      </c>
      <c r="E42" s="342">
        <v>46088</v>
      </c>
      <c r="F42" s="343">
        <v>46087</v>
      </c>
      <c r="G42" s="180" t="s">
        <v>576</v>
      </c>
      <c r="H42" s="186" t="s">
        <v>841</v>
      </c>
      <c r="I42" s="186" t="s">
        <v>842</v>
      </c>
      <c r="J42" s="188">
        <v>46095</v>
      </c>
      <c r="K42" s="186" t="s">
        <v>841</v>
      </c>
      <c r="L42" s="186" t="s">
        <v>842</v>
      </c>
      <c r="M42" s="186" t="s">
        <v>843</v>
      </c>
      <c r="N42" s="186" t="s">
        <v>844</v>
      </c>
      <c r="O42" s="188">
        <v>46096</v>
      </c>
      <c r="P42" s="194" t="s">
        <v>845</v>
      </c>
      <c r="Q42" s="229"/>
      <c r="R42" s="231"/>
      <c r="S42" s="233">
        <f t="shared" si="8"/>
        <v>46101</v>
      </c>
      <c r="T42" s="233">
        <f>O42+7</f>
        <v>46103</v>
      </c>
      <c r="U42" s="234"/>
      <c r="V42" s="233">
        <f>O42+12</f>
        <v>46108</v>
      </c>
      <c r="W42" s="233">
        <f>O42+13</f>
        <v>46109</v>
      </c>
      <c r="X42" s="231"/>
      <c r="Y42" s="231"/>
      <c r="Z42" s="231"/>
      <c r="AA42" s="231"/>
      <c r="AB42" s="231"/>
      <c r="AC42" s="231"/>
      <c r="AD42" s="237"/>
    </row>
    <row r="43" spans="1:30" ht="25.5" hidden="1" customHeight="1">
      <c r="A43" s="502"/>
      <c r="B43" s="332" t="s">
        <v>62</v>
      </c>
      <c r="C43" s="333" t="s">
        <v>846</v>
      </c>
      <c r="D43" s="334" t="s">
        <v>606</v>
      </c>
      <c r="E43" s="374">
        <v>46075</v>
      </c>
      <c r="F43" s="375">
        <v>46074</v>
      </c>
      <c r="G43" s="376" t="s">
        <v>576</v>
      </c>
      <c r="H43" s="336" t="s">
        <v>847</v>
      </c>
      <c r="I43" s="336" t="s">
        <v>848</v>
      </c>
      <c r="J43" s="337">
        <v>46080</v>
      </c>
      <c r="K43" s="336" t="s">
        <v>847</v>
      </c>
      <c r="L43" s="336" t="s">
        <v>848</v>
      </c>
      <c r="M43" s="336" t="s">
        <v>849</v>
      </c>
      <c r="N43" s="336" t="s">
        <v>850</v>
      </c>
      <c r="O43" s="188">
        <v>46082</v>
      </c>
      <c r="P43" s="261" t="s">
        <v>851</v>
      </c>
      <c r="Q43" s="263"/>
      <c r="R43" s="264"/>
      <c r="S43" s="265">
        <f>O43+4</f>
        <v>46086</v>
      </c>
      <c r="T43" s="264"/>
      <c r="U43" s="264"/>
      <c r="V43" s="264"/>
      <c r="W43" s="265">
        <f>O43+8</f>
        <v>46090</v>
      </c>
      <c r="X43" s="265">
        <f>O43+9</f>
        <v>46091</v>
      </c>
      <c r="Y43" s="264"/>
      <c r="Z43" s="264"/>
      <c r="AA43" s="264"/>
      <c r="AB43" s="264"/>
      <c r="AC43" s="264"/>
      <c r="AD43" s="267"/>
    </row>
    <row r="44" spans="1:30" ht="25.5" hidden="1" customHeight="1">
      <c r="A44" s="507">
        <v>10</v>
      </c>
      <c r="B44" s="163" t="s">
        <v>204</v>
      </c>
      <c r="C44" s="164" t="s">
        <v>852</v>
      </c>
      <c r="D44" s="167" t="s">
        <v>520</v>
      </c>
      <c r="E44" s="342">
        <v>46085</v>
      </c>
      <c r="F44" s="343">
        <v>46084</v>
      </c>
      <c r="G44" s="209" t="s">
        <v>521</v>
      </c>
      <c r="H44" s="186" t="s">
        <v>853</v>
      </c>
      <c r="I44" s="186" t="s">
        <v>854</v>
      </c>
      <c r="J44" s="188">
        <v>46089</v>
      </c>
      <c r="K44" s="186" t="s">
        <v>853</v>
      </c>
      <c r="L44" s="186" t="s">
        <v>854</v>
      </c>
      <c r="M44" s="186" t="s">
        <v>855</v>
      </c>
      <c r="N44" s="186" t="s">
        <v>856</v>
      </c>
      <c r="O44" s="188">
        <v>46090</v>
      </c>
      <c r="P44" s="194" t="s">
        <v>857</v>
      </c>
      <c r="Q44" s="197">
        <f>O44+7</f>
        <v>46097</v>
      </c>
      <c r="R44" s="199">
        <f>O44+6</f>
        <v>46096</v>
      </c>
      <c r="S44" s="200"/>
      <c r="T44" s="200"/>
      <c r="U44" s="200"/>
      <c r="V44" s="200"/>
      <c r="W44" s="200"/>
      <c r="X44" s="202"/>
      <c r="Y44" s="200"/>
      <c r="Z44" s="200"/>
      <c r="AA44" s="200"/>
      <c r="AB44" s="200"/>
      <c r="AC44" s="200"/>
      <c r="AD44" s="205" t="s">
        <v>542</v>
      </c>
    </row>
    <row r="45" spans="1:30" ht="25.5" hidden="1" customHeight="1">
      <c r="A45" s="502"/>
      <c r="B45" s="332" t="s">
        <v>62</v>
      </c>
      <c r="C45" s="333" t="s">
        <v>858</v>
      </c>
      <c r="D45" s="334" t="s">
        <v>606</v>
      </c>
      <c r="E45" s="335">
        <v>46091</v>
      </c>
      <c r="F45" s="335">
        <v>46090</v>
      </c>
      <c r="G45" s="259" t="s">
        <v>576</v>
      </c>
      <c r="H45" s="336" t="s">
        <v>859</v>
      </c>
      <c r="I45" s="336" t="s">
        <v>859</v>
      </c>
      <c r="J45" s="337">
        <v>46095</v>
      </c>
      <c r="K45" s="336" t="s">
        <v>859</v>
      </c>
      <c r="L45" s="336" t="s">
        <v>859</v>
      </c>
      <c r="M45" s="336" t="s">
        <v>860</v>
      </c>
      <c r="N45" s="336" t="s">
        <v>861</v>
      </c>
      <c r="O45" s="188">
        <v>46097</v>
      </c>
      <c r="P45" s="261" t="s">
        <v>862</v>
      </c>
      <c r="Q45" s="263"/>
      <c r="R45" s="264"/>
      <c r="S45" s="265">
        <f>O45+4</f>
        <v>46101</v>
      </c>
      <c r="T45" s="264"/>
      <c r="U45" s="264"/>
      <c r="V45" s="264"/>
      <c r="W45" s="265">
        <f>O45+8</f>
        <v>46105</v>
      </c>
      <c r="X45" s="265">
        <f>O45+9</f>
        <v>46106</v>
      </c>
      <c r="Y45" s="264"/>
      <c r="Z45" s="264"/>
      <c r="AA45" s="264"/>
      <c r="AB45" s="264"/>
      <c r="AC45" s="264"/>
      <c r="AD45" s="267"/>
    </row>
    <row r="46" spans="1:30" ht="25.5" hidden="1" customHeight="1">
      <c r="A46" s="507">
        <v>11</v>
      </c>
      <c r="B46" s="377" t="s">
        <v>454</v>
      </c>
      <c r="C46" s="378" t="s">
        <v>863</v>
      </c>
      <c r="D46" s="379" t="s">
        <v>478</v>
      </c>
      <c r="E46" s="380">
        <v>46091</v>
      </c>
      <c r="F46" s="374">
        <v>46091</v>
      </c>
      <c r="G46" s="180" t="s">
        <v>482</v>
      </c>
      <c r="H46" s="336" t="s">
        <v>843</v>
      </c>
      <c r="I46" s="336" t="s">
        <v>864</v>
      </c>
      <c r="J46" s="337">
        <v>46096</v>
      </c>
      <c r="K46" s="336" t="s">
        <v>843</v>
      </c>
      <c r="L46" s="336" t="s">
        <v>864</v>
      </c>
      <c r="M46" s="336" t="s">
        <v>860</v>
      </c>
      <c r="N46" s="336" t="s">
        <v>865</v>
      </c>
      <c r="O46" s="188">
        <v>46098</v>
      </c>
      <c r="P46" s="194" t="s">
        <v>866</v>
      </c>
      <c r="Q46" s="197">
        <f>O46+4</f>
        <v>46102</v>
      </c>
      <c r="R46" s="199">
        <f>O46+5</f>
        <v>46103</v>
      </c>
      <c r="S46" s="200"/>
      <c r="T46" s="200"/>
      <c r="U46" s="200"/>
      <c r="V46" s="200"/>
      <c r="W46" s="200"/>
      <c r="X46" s="202"/>
      <c r="Y46" s="200"/>
      <c r="Z46" s="200"/>
      <c r="AA46" s="200"/>
      <c r="AB46" s="200"/>
      <c r="AC46" s="200"/>
      <c r="AD46" s="205" t="s">
        <v>755</v>
      </c>
    </row>
    <row r="47" spans="1:30" ht="25.5" hidden="1" customHeight="1">
      <c r="A47" s="501"/>
      <c r="B47" s="163" t="s">
        <v>204</v>
      </c>
      <c r="C47" s="164" t="s">
        <v>867</v>
      </c>
      <c r="D47" s="167" t="s">
        <v>520</v>
      </c>
      <c r="E47" s="289">
        <v>46094</v>
      </c>
      <c r="F47" s="289">
        <v>46093</v>
      </c>
      <c r="G47" s="209" t="s">
        <v>521</v>
      </c>
      <c r="H47" s="186" t="s">
        <v>868</v>
      </c>
      <c r="I47" s="186" t="s">
        <v>869</v>
      </c>
      <c r="J47" s="188">
        <v>46100</v>
      </c>
      <c r="K47" s="186" t="s">
        <v>868</v>
      </c>
      <c r="L47" s="186" t="s">
        <v>869</v>
      </c>
      <c r="M47" s="186" t="s">
        <v>870</v>
      </c>
      <c r="N47" s="186" t="s">
        <v>871</v>
      </c>
      <c r="O47" s="188">
        <v>46102</v>
      </c>
      <c r="P47" s="194" t="s">
        <v>872</v>
      </c>
      <c r="Q47" s="197">
        <f>O47+7</f>
        <v>46109</v>
      </c>
      <c r="R47" s="199">
        <f>O47+6</f>
        <v>46108</v>
      </c>
      <c r="S47" s="199">
        <f t="shared" ref="S47:S48" si="9">O47+5</f>
        <v>46107</v>
      </c>
      <c r="T47" s="200"/>
      <c r="U47" s="200"/>
      <c r="V47" s="200"/>
      <c r="W47" s="200"/>
      <c r="X47" s="202"/>
      <c r="Y47" s="200"/>
      <c r="Z47" s="200"/>
      <c r="AA47" s="200"/>
      <c r="AB47" s="200"/>
      <c r="AC47" s="381"/>
      <c r="AD47" s="205" t="s">
        <v>542</v>
      </c>
    </row>
    <row r="48" spans="1:30" ht="25.5" hidden="1" customHeight="1">
      <c r="A48" s="501"/>
      <c r="B48" s="222" t="s">
        <v>65</v>
      </c>
      <c r="C48" s="164" t="s">
        <v>873</v>
      </c>
      <c r="D48" s="223" t="s">
        <v>874</v>
      </c>
      <c r="E48" s="289">
        <v>46096</v>
      </c>
      <c r="F48" s="170">
        <v>46095</v>
      </c>
      <c r="G48" s="382" t="s">
        <v>875</v>
      </c>
      <c r="H48" s="186" t="s">
        <v>876</v>
      </c>
      <c r="I48" s="186" t="s">
        <v>877</v>
      </c>
      <c r="J48" s="188">
        <v>46102</v>
      </c>
      <c r="K48" s="186" t="s">
        <v>876</v>
      </c>
      <c r="L48" s="186" t="s">
        <v>877</v>
      </c>
      <c r="M48" s="186" t="s">
        <v>878</v>
      </c>
      <c r="N48" s="186" t="s">
        <v>879</v>
      </c>
      <c r="O48" s="188">
        <v>46103</v>
      </c>
      <c r="P48" s="194" t="s">
        <v>880</v>
      </c>
      <c r="Q48" s="229"/>
      <c r="R48" s="231"/>
      <c r="S48" s="233">
        <f t="shared" si="9"/>
        <v>46108</v>
      </c>
      <c r="T48" s="233">
        <f>O48+7</f>
        <v>46110</v>
      </c>
      <c r="U48" s="234"/>
      <c r="V48" s="233">
        <f>O48+12</f>
        <v>46115</v>
      </c>
      <c r="W48" s="233">
        <f>O48+13</f>
        <v>46116</v>
      </c>
      <c r="X48" s="231"/>
      <c r="Y48" s="231"/>
      <c r="Z48" s="231"/>
      <c r="AA48" s="231"/>
      <c r="AB48" s="383"/>
      <c r="AC48" s="383"/>
      <c r="AD48" s="372"/>
    </row>
    <row r="49" spans="1:30" ht="25.5" hidden="1" customHeight="1">
      <c r="A49" s="502"/>
      <c r="B49" s="332" t="s">
        <v>62</v>
      </c>
      <c r="C49" s="333" t="s">
        <v>881</v>
      </c>
      <c r="D49" s="253" t="s">
        <v>882</v>
      </c>
      <c r="E49" s="335">
        <v>46093</v>
      </c>
      <c r="F49" s="335">
        <v>46092</v>
      </c>
      <c r="G49" s="384" t="s">
        <v>875</v>
      </c>
      <c r="H49" s="336" t="s">
        <v>883</v>
      </c>
      <c r="I49" s="336" t="s">
        <v>884</v>
      </c>
      <c r="J49" s="337">
        <v>46097</v>
      </c>
      <c r="K49" s="336" t="s">
        <v>883</v>
      </c>
      <c r="L49" s="336" t="s">
        <v>884</v>
      </c>
      <c r="M49" s="336" t="s">
        <v>885</v>
      </c>
      <c r="N49" s="336" t="s">
        <v>886</v>
      </c>
      <c r="O49" s="188">
        <v>46098</v>
      </c>
      <c r="P49" s="261" t="s">
        <v>887</v>
      </c>
      <c r="Q49" s="263"/>
      <c r="R49" s="264"/>
      <c r="S49" s="265">
        <f>O49+4</f>
        <v>46102</v>
      </c>
      <c r="T49" s="264"/>
      <c r="U49" s="264"/>
      <c r="V49" s="264"/>
      <c r="W49" s="265">
        <f>O49+8</f>
        <v>46106</v>
      </c>
      <c r="X49" s="265">
        <f>O49+9</f>
        <v>46107</v>
      </c>
      <c r="Y49" s="264"/>
      <c r="Z49" s="264"/>
      <c r="AA49" s="264"/>
      <c r="AB49" s="264"/>
      <c r="AC49" s="385"/>
      <c r="AD49" s="267"/>
    </row>
    <row r="50" spans="1:30" ht="25.5" hidden="1" customHeight="1">
      <c r="A50" s="507">
        <v>12</v>
      </c>
      <c r="B50" s="163" t="s">
        <v>454</v>
      </c>
      <c r="C50" s="164" t="s">
        <v>888</v>
      </c>
      <c r="D50" s="167" t="s">
        <v>478</v>
      </c>
      <c r="E50" s="386">
        <v>46096</v>
      </c>
      <c r="F50" s="288">
        <v>46096</v>
      </c>
      <c r="G50" s="180" t="s">
        <v>482</v>
      </c>
      <c r="H50" s="186" t="s">
        <v>889</v>
      </c>
      <c r="I50" s="186" t="s">
        <v>889</v>
      </c>
      <c r="J50" s="188">
        <v>46104</v>
      </c>
      <c r="K50" s="186" t="s">
        <v>889</v>
      </c>
      <c r="L50" s="186" t="s">
        <v>889</v>
      </c>
      <c r="M50" s="186" t="s">
        <v>890</v>
      </c>
      <c r="N50" s="186" t="s">
        <v>891</v>
      </c>
      <c r="O50" s="188">
        <v>46105</v>
      </c>
      <c r="P50" s="194" t="s">
        <v>892</v>
      </c>
      <c r="Q50" s="197">
        <f>O50+4</f>
        <v>46109</v>
      </c>
      <c r="R50" s="199">
        <f>O50+5</f>
        <v>46110</v>
      </c>
      <c r="S50" s="200"/>
      <c r="T50" s="200"/>
      <c r="U50" s="200"/>
      <c r="V50" s="200"/>
      <c r="W50" s="200"/>
      <c r="X50" s="202"/>
      <c r="Y50" s="200"/>
      <c r="Z50" s="200"/>
      <c r="AA50" s="200"/>
      <c r="AB50" s="200"/>
      <c r="AC50" s="200"/>
      <c r="AD50" s="205" t="s">
        <v>755</v>
      </c>
    </row>
    <row r="51" spans="1:30" ht="25.5" hidden="1" customHeight="1">
      <c r="A51" s="501"/>
      <c r="B51" s="163" t="s">
        <v>204</v>
      </c>
      <c r="C51" s="164" t="s">
        <v>893</v>
      </c>
      <c r="D51" s="167" t="s">
        <v>520</v>
      </c>
      <c r="E51" s="289">
        <v>46098</v>
      </c>
      <c r="F51" s="289">
        <v>46097</v>
      </c>
      <c r="G51" s="209" t="s">
        <v>521</v>
      </c>
      <c r="H51" s="186" t="s">
        <v>894</v>
      </c>
      <c r="I51" s="186" t="s">
        <v>895</v>
      </c>
      <c r="J51" s="188">
        <v>46104</v>
      </c>
      <c r="K51" s="186" t="s">
        <v>894</v>
      </c>
      <c r="L51" s="186" t="s">
        <v>895</v>
      </c>
      <c r="M51" s="186" t="s">
        <v>896</v>
      </c>
      <c r="N51" s="186" t="s">
        <v>897</v>
      </c>
      <c r="O51" s="188">
        <v>46105</v>
      </c>
      <c r="P51" s="194" t="s">
        <v>898</v>
      </c>
      <c r="Q51" s="197">
        <f>O51+7</f>
        <v>46112</v>
      </c>
      <c r="R51" s="199">
        <f>O51+6</f>
        <v>46111</v>
      </c>
      <c r="S51" s="200"/>
      <c r="T51" s="200"/>
      <c r="U51" s="200"/>
      <c r="V51" s="200"/>
      <c r="W51" s="200"/>
      <c r="X51" s="202"/>
      <c r="Y51" s="200"/>
      <c r="Z51" s="200"/>
      <c r="AA51" s="200"/>
      <c r="AB51" s="200"/>
      <c r="AC51" s="200"/>
      <c r="AD51" s="205" t="s">
        <v>542</v>
      </c>
    </row>
    <row r="52" spans="1:30" ht="25.5" hidden="1" customHeight="1">
      <c r="A52" s="501"/>
      <c r="B52" s="222" t="s">
        <v>65</v>
      </c>
      <c r="C52" s="164" t="s">
        <v>899</v>
      </c>
      <c r="D52" s="223" t="s">
        <v>705</v>
      </c>
      <c r="E52" s="170">
        <v>46108</v>
      </c>
      <c r="F52" s="170">
        <v>46106</v>
      </c>
      <c r="G52" s="295" t="s">
        <v>576</v>
      </c>
      <c r="H52" s="186" t="s">
        <v>900</v>
      </c>
      <c r="I52" s="186" t="s">
        <v>901</v>
      </c>
      <c r="J52" s="188">
        <v>46113</v>
      </c>
      <c r="K52" s="186" t="s">
        <v>900</v>
      </c>
      <c r="L52" s="186" t="s">
        <v>901</v>
      </c>
      <c r="M52" s="186" t="s">
        <v>902</v>
      </c>
      <c r="N52" s="186" t="s">
        <v>903</v>
      </c>
      <c r="O52" s="188">
        <v>46116</v>
      </c>
      <c r="P52" s="194" t="s">
        <v>904</v>
      </c>
      <c r="Q52" s="229"/>
      <c r="R52" s="231"/>
      <c r="S52" s="233">
        <f>O52+5</f>
        <v>46121</v>
      </c>
      <c r="T52" s="233">
        <f>O52+7</f>
        <v>46123</v>
      </c>
      <c r="U52" s="234"/>
      <c r="V52" s="233">
        <f>O52+12</f>
        <v>46128</v>
      </c>
      <c r="W52" s="233">
        <f>O52+13</f>
        <v>46129</v>
      </c>
      <c r="X52" s="231"/>
      <c r="Y52" s="231"/>
      <c r="Z52" s="231"/>
      <c r="AA52" s="231"/>
      <c r="AB52" s="231"/>
      <c r="AC52" s="371"/>
      <c r="AD52" s="372"/>
    </row>
    <row r="53" spans="1:30" ht="25.5" hidden="1" customHeight="1">
      <c r="A53" s="502"/>
      <c r="B53" s="249" t="s">
        <v>62</v>
      </c>
      <c r="C53" s="252" t="s">
        <v>905</v>
      </c>
      <c r="D53" s="253" t="s">
        <v>606</v>
      </c>
      <c r="E53" s="254">
        <v>46097</v>
      </c>
      <c r="F53" s="254">
        <v>46096</v>
      </c>
      <c r="G53" s="259" t="s">
        <v>576</v>
      </c>
      <c r="H53" s="186" t="s">
        <v>906</v>
      </c>
      <c r="I53" s="186" t="s">
        <v>907</v>
      </c>
      <c r="J53" s="188">
        <v>46101</v>
      </c>
      <c r="K53" s="186" t="s">
        <v>906</v>
      </c>
      <c r="L53" s="186" t="s">
        <v>907</v>
      </c>
      <c r="M53" s="186" t="s">
        <v>908</v>
      </c>
      <c r="N53" s="186" t="s">
        <v>909</v>
      </c>
      <c r="O53" s="188">
        <v>46102</v>
      </c>
      <c r="P53" s="261" t="s">
        <v>910</v>
      </c>
      <c r="Q53" s="263"/>
      <c r="R53" s="264"/>
      <c r="S53" s="265">
        <f>O53+4</f>
        <v>46106</v>
      </c>
      <c r="T53" s="264"/>
      <c r="U53" s="264"/>
      <c r="V53" s="264"/>
      <c r="W53" s="265">
        <f>O53+8</f>
        <v>46110</v>
      </c>
      <c r="X53" s="265">
        <f>O53+9</f>
        <v>46111</v>
      </c>
      <c r="Y53" s="264"/>
      <c r="Z53" s="264"/>
      <c r="AA53" s="264"/>
      <c r="AB53" s="264"/>
      <c r="AC53" s="264"/>
      <c r="AD53" s="267"/>
    </row>
    <row r="54" spans="1:30" ht="25.5" hidden="1" customHeight="1">
      <c r="A54" s="507">
        <v>13</v>
      </c>
      <c r="B54" s="163" t="s">
        <v>454</v>
      </c>
      <c r="C54" s="164" t="s">
        <v>911</v>
      </c>
      <c r="D54" s="167" t="s">
        <v>478</v>
      </c>
      <c r="E54" s="386">
        <v>46107</v>
      </c>
      <c r="F54" s="288">
        <v>46106</v>
      </c>
      <c r="G54" s="180" t="s">
        <v>482</v>
      </c>
      <c r="H54" s="186" t="s">
        <v>912</v>
      </c>
      <c r="I54" s="186" t="s">
        <v>913</v>
      </c>
      <c r="J54" s="188">
        <v>46113</v>
      </c>
      <c r="K54" s="186" t="s">
        <v>912</v>
      </c>
      <c r="L54" s="186" t="s">
        <v>913</v>
      </c>
      <c r="M54" s="186" t="s">
        <v>914</v>
      </c>
      <c r="N54" s="186" t="s">
        <v>915</v>
      </c>
      <c r="O54" s="188">
        <v>46114</v>
      </c>
      <c r="P54" s="194" t="s">
        <v>916</v>
      </c>
      <c r="Q54" s="197">
        <f>O54+4</f>
        <v>46118</v>
      </c>
      <c r="R54" s="199">
        <f>O54+5</f>
        <v>46119</v>
      </c>
      <c r="S54" s="200"/>
      <c r="T54" s="200"/>
      <c r="U54" s="200"/>
      <c r="V54" s="200"/>
      <c r="W54" s="200"/>
      <c r="X54" s="202"/>
      <c r="Y54" s="200"/>
      <c r="Z54" s="200"/>
      <c r="AA54" s="200"/>
      <c r="AB54" s="200"/>
      <c r="AC54" s="200"/>
      <c r="AD54" s="205" t="s">
        <v>755</v>
      </c>
    </row>
    <row r="55" spans="1:30" ht="25.5" hidden="1" customHeight="1">
      <c r="A55" s="501"/>
      <c r="B55" s="163" t="s">
        <v>204</v>
      </c>
      <c r="C55" s="164" t="s">
        <v>917</v>
      </c>
      <c r="D55" s="167" t="s">
        <v>520</v>
      </c>
      <c r="E55" s="288">
        <v>46110</v>
      </c>
      <c r="F55" s="289">
        <v>46109</v>
      </c>
      <c r="G55" s="209" t="s">
        <v>521</v>
      </c>
      <c r="H55" s="186" t="s">
        <v>918</v>
      </c>
      <c r="I55" s="186" t="s">
        <v>919</v>
      </c>
      <c r="J55" s="188">
        <v>46115</v>
      </c>
      <c r="K55" s="186" t="s">
        <v>914</v>
      </c>
      <c r="L55" s="186" t="s">
        <v>919</v>
      </c>
      <c r="M55" s="186" t="s">
        <v>920</v>
      </c>
      <c r="N55" s="186" t="s">
        <v>921</v>
      </c>
      <c r="O55" s="188">
        <v>46116</v>
      </c>
      <c r="P55" s="194" t="s">
        <v>922</v>
      </c>
      <c r="Q55" s="197">
        <f>O55+6</f>
        <v>46122</v>
      </c>
      <c r="R55" s="199">
        <f>O55+7</f>
        <v>46123</v>
      </c>
      <c r="S55" s="199">
        <f t="shared" ref="S55:S56" si="10">O55+5</f>
        <v>46121</v>
      </c>
      <c r="T55" s="200"/>
      <c r="U55" s="200"/>
      <c r="V55" s="200"/>
      <c r="W55" s="200"/>
      <c r="X55" s="202"/>
      <c r="Y55" s="200"/>
      <c r="Z55" s="200"/>
      <c r="AA55" s="200"/>
      <c r="AB55" s="200"/>
      <c r="AC55" s="381"/>
      <c r="AD55" s="205" t="s">
        <v>542</v>
      </c>
    </row>
    <row r="56" spans="1:30" ht="25.5" hidden="1" customHeight="1">
      <c r="A56" s="501"/>
      <c r="B56" s="222" t="s">
        <v>65</v>
      </c>
      <c r="C56" s="164" t="s">
        <v>923</v>
      </c>
      <c r="D56" s="223" t="s">
        <v>705</v>
      </c>
      <c r="E56" s="170">
        <v>46117</v>
      </c>
      <c r="F56" s="170">
        <v>46116</v>
      </c>
      <c r="G56" s="180" t="s">
        <v>576</v>
      </c>
      <c r="H56" s="186" t="s">
        <v>924</v>
      </c>
      <c r="I56" s="186" t="s">
        <v>924</v>
      </c>
      <c r="J56" s="188">
        <v>46122</v>
      </c>
      <c r="K56" s="186" t="s">
        <v>924</v>
      </c>
      <c r="L56" s="186" t="s">
        <v>924</v>
      </c>
      <c r="M56" s="186" t="s">
        <v>925</v>
      </c>
      <c r="N56" s="186" t="s">
        <v>926</v>
      </c>
      <c r="O56" s="188">
        <v>46123</v>
      </c>
      <c r="P56" s="194" t="s">
        <v>927</v>
      </c>
      <c r="Q56" s="229"/>
      <c r="R56" s="231"/>
      <c r="S56" s="233">
        <f t="shared" si="10"/>
        <v>46128</v>
      </c>
      <c r="T56" s="233">
        <f>O56+7</f>
        <v>46130</v>
      </c>
      <c r="U56" s="234"/>
      <c r="V56" s="233">
        <f>O56+12</f>
        <v>46135</v>
      </c>
      <c r="W56" s="233">
        <f>O56+13</f>
        <v>46136</v>
      </c>
      <c r="X56" s="231"/>
      <c r="Y56" s="231"/>
      <c r="Z56" s="231"/>
      <c r="AA56" s="231"/>
      <c r="AB56" s="231"/>
      <c r="AC56" s="231"/>
      <c r="AD56" s="237"/>
    </row>
    <row r="57" spans="1:30" ht="25.5" hidden="1" customHeight="1">
      <c r="A57" s="502"/>
      <c r="B57" s="332" t="s">
        <v>62</v>
      </c>
      <c r="C57" s="333" t="s">
        <v>928</v>
      </c>
      <c r="D57" s="334" t="s">
        <v>606</v>
      </c>
      <c r="E57" s="335">
        <v>46111</v>
      </c>
      <c r="F57" s="335">
        <v>46110</v>
      </c>
      <c r="G57" s="259" t="s">
        <v>576</v>
      </c>
      <c r="H57" s="336" t="s">
        <v>929</v>
      </c>
      <c r="I57" s="336" t="s">
        <v>930</v>
      </c>
      <c r="J57" s="337">
        <v>46118</v>
      </c>
      <c r="K57" s="336" t="s">
        <v>929</v>
      </c>
      <c r="L57" s="336" t="s">
        <v>931</v>
      </c>
      <c r="M57" s="336" t="s">
        <v>932</v>
      </c>
      <c r="N57" s="336" t="s">
        <v>933</v>
      </c>
      <c r="O57" s="188">
        <v>46118</v>
      </c>
      <c r="P57" s="261" t="s">
        <v>934</v>
      </c>
      <c r="Q57" s="263"/>
      <c r="R57" s="264"/>
      <c r="S57" s="265">
        <f t="shared" ref="S57:S58" si="11">O57+4</f>
        <v>46122</v>
      </c>
      <c r="T57" s="264"/>
      <c r="U57" s="264"/>
      <c r="V57" s="264"/>
      <c r="W57" s="265">
        <f>O57+8</f>
        <v>46126</v>
      </c>
      <c r="X57" s="265">
        <f>O57+9</f>
        <v>46127</v>
      </c>
      <c r="Y57" s="264"/>
      <c r="Z57" s="264"/>
      <c r="AA57" s="264"/>
      <c r="AB57" s="264"/>
      <c r="AC57" s="264"/>
      <c r="AD57" s="267"/>
    </row>
    <row r="58" spans="1:30" ht="25.5" hidden="1" customHeight="1">
      <c r="A58" s="508">
        <v>14</v>
      </c>
      <c r="B58" s="163" t="s">
        <v>518</v>
      </c>
      <c r="C58" s="164" t="s">
        <v>935</v>
      </c>
      <c r="D58" s="167" t="s">
        <v>936</v>
      </c>
      <c r="E58" s="288"/>
      <c r="F58" s="170">
        <v>46107</v>
      </c>
      <c r="G58" s="180" t="s">
        <v>664</v>
      </c>
      <c r="H58" s="186"/>
      <c r="I58" s="186"/>
      <c r="J58" s="188"/>
      <c r="K58" s="186" t="s">
        <v>937</v>
      </c>
      <c r="L58" s="186" t="s">
        <v>938</v>
      </c>
      <c r="M58" s="186" t="s">
        <v>901</v>
      </c>
      <c r="N58" s="186" t="s">
        <v>939</v>
      </c>
      <c r="O58" s="188">
        <v>46114</v>
      </c>
      <c r="P58" s="194" t="s">
        <v>940</v>
      </c>
      <c r="Q58" s="197">
        <f>O58+5</f>
        <v>46119</v>
      </c>
      <c r="R58" s="200"/>
      <c r="S58" s="199">
        <f t="shared" si="11"/>
        <v>46118</v>
      </c>
      <c r="T58" s="200"/>
      <c r="U58" s="200"/>
      <c r="V58" s="199">
        <f>O58+13</f>
        <v>46127</v>
      </c>
      <c r="W58" s="200"/>
      <c r="X58" s="202"/>
      <c r="Y58" s="200"/>
      <c r="Z58" s="200"/>
      <c r="AA58" s="200"/>
      <c r="AB58" s="200"/>
      <c r="AC58" s="200"/>
      <c r="AD58" s="205" t="s">
        <v>941</v>
      </c>
    </row>
    <row r="59" spans="1:30" ht="25.5" hidden="1" customHeight="1">
      <c r="A59" s="501"/>
      <c r="B59" s="163" t="s">
        <v>454</v>
      </c>
      <c r="C59" s="164" t="s">
        <v>942</v>
      </c>
      <c r="D59" s="167" t="s">
        <v>478</v>
      </c>
      <c r="E59" s="288">
        <v>46113</v>
      </c>
      <c r="F59" s="289">
        <v>46113</v>
      </c>
      <c r="G59" s="180" t="s">
        <v>482</v>
      </c>
      <c r="H59" s="186" t="s">
        <v>943</v>
      </c>
      <c r="I59" s="186" t="s">
        <v>944</v>
      </c>
      <c r="J59" s="188">
        <v>46118</v>
      </c>
      <c r="K59" s="186" t="s">
        <v>943</v>
      </c>
      <c r="L59" s="186" t="s">
        <v>944</v>
      </c>
      <c r="M59" s="186" t="s">
        <v>932</v>
      </c>
      <c r="N59" s="186" t="s">
        <v>945</v>
      </c>
      <c r="O59" s="188">
        <v>46119</v>
      </c>
      <c r="P59" s="194" t="s">
        <v>946</v>
      </c>
      <c r="Q59" s="197">
        <f>O59+4</f>
        <v>46123</v>
      </c>
      <c r="R59" s="199">
        <f>O59+5</f>
        <v>46124</v>
      </c>
      <c r="S59" s="200"/>
      <c r="T59" s="200"/>
      <c r="U59" s="200"/>
      <c r="V59" s="200"/>
      <c r="W59" s="200"/>
      <c r="X59" s="202"/>
      <c r="Y59" s="200"/>
      <c r="Z59" s="200"/>
      <c r="AA59" s="200"/>
      <c r="AB59" s="200"/>
      <c r="AC59" s="200"/>
      <c r="AD59" s="205" t="s">
        <v>755</v>
      </c>
    </row>
    <row r="60" spans="1:30" ht="25.5" hidden="1" customHeight="1">
      <c r="A60" s="501"/>
      <c r="B60" s="163" t="s">
        <v>204</v>
      </c>
      <c r="C60" s="164" t="s">
        <v>947</v>
      </c>
      <c r="D60" s="167" t="s">
        <v>520</v>
      </c>
      <c r="E60" s="288">
        <v>46114</v>
      </c>
      <c r="F60" s="289">
        <v>46112</v>
      </c>
      <c r="G60" s="209" t="s">
        <v>521</v>
      </c>
      <c r="H60" s="186" t="s">
        <v>948</v>
      </c>
      <c r="I60" s="186" t="s">
        <v>949</v>
      </c>
      <c r="J60" s="188">
        <v>46119</v>
      </c>
      <c r="K60" s="186" t="s">
        <v>948</v>
      </c>
      <c r="L60" s="186" t="s">
        <v>949</v>
      </c>
      <c r="M60" s="186" t="s">
        <v>950</v>
      </c>
      <c r="N60" s="186" t="s">
        <v>951</v>
      </c>
      <c r="O60" s="188">
        <v>46120</v>
      </c>
      <c r="P60" s="194" t="s">
        <v>952</v>
      </c>
      <c r="Q60" s="197">
        <f>O60+7</f>
        <v>46127</v>
      </c>
      <c r="R60" s="199">
        <f>O60+6</f>
        <v>46126</v>
      </c>
      <c r="S60" s="200"/>
      <c r="T60" s="200"/>
      <c r="U60" s="200"/>
      <c r="V60" s="200"/>
      <c r="W60" s="200"/>
      <c r="X60" s="202"/>
      <c r="Y60" s="200"/>
      <c r="Z60" s="200"/>
      <c r="AA60" s="200"/>
      <c r="AB60" s="200"/>
      <c r="AC60" s="200"/>
      <c r="AD60" s="205" t="s">
        <v>542</v>
      </c>
    </row>
    <row r="61" spans="1:30" ht="25.5" hidden="1" customHeight="1">
      <c r="A61" s="501"/>
      <c r="B61" s="222" t="s">
        <v>65</v>
      </c>
      <c r="C61" s="164" t="s">
        <v>953</v>
      </c>
      <c r="D61" s="223" t="s">
        <v>705</v>
      </c>
      <c r="E61" s="289">
        <v>46124</v>
      </c>
      <c r="F61" s="289">
        <v>46123</v>
      </c>
      <c r="G61" s="295" t="s">
        <v>576</v>
      </c>
      <c r="H61" s="186" t="s">
        <v>954</v>
      </c>
      <c r="I61" s="186" t="s">
        <v>955</v>
      </c>
      <c r="J61" s="188">
        <v>46129</v>
      </c>
      <c r="K61" s="186" t="s">
        <v>954</v>
      </c>
      <c r="L61" s="186" t="s">
        <v>955</v>
      </c>
      <c r="M61" s="186" t="s">
        <v>956</v>
      </c>
      <c r="N61" s="186" t="s">
        <v>957</v>
      </c>
      <c r="O61" s="188">
        <v>46130</v>
      </c>
      <c r="P61" s="194" t="s">
        <v>958</v>
      </c>
      <c r="Q61" s="229"/>
      <c r="R61" s="231"/>
      <c r="S61" s="233">
        <f>O61+5</f>
        <v>46135</v>
      </c>
      <c r="T61" s="233">
        <f>O61+7</f>
        <v>46137</v>
      </c>
      <c r="U61" s="234"/>
      <c r="V61" s="233">
        <f>O61+12</f>
        <v>46142</v>
      </c>
      <c r="W61" s="233">
        <f>O61+13</f>
        <v>46143</v>
      </c>
      <c r="X61" s="231"/>
      <c r="Y61" s="231"/>
      <c r="Z61" s="231"/>
      <c r="AA61" s="231"/>
      <c r="AB61" s="383"/>
      <c r="AC61" s="383"/>
      <c r="AD61" s="372"/>
    </row>
    <row r="62" spans="1:30" ht="25.5" hidden="1" customHeight="1">
      <c r="A62" s="501"/>
      <c r="B62" s="387" t="s">
        <v>62</v>
      </c>
      <c r="C62" s="252" t="s">
        <v>959</v>
      </c>
      <c r="D62" s="253" t="s">
        <v>705</v>
      </c>
      <c r="E62" s="254">
        <v>46115</v>
      </c>
      <c r="F62" s="254">
        <v>46114</v>
      </c>
      <c r="G62" s="259" t="s">
        <v>576</v>
      </c>
      <c r="H62" s="186" t="s">
        <v>960</v>
      </c>
      <c r="I62" s="186" t="s">
        <v>961</v>
      </c>
      <c r="J62" s="188">
        <v>46121</v>
      </c>
      <c r="K62" s="186" t="s">
        <v>960</v>
      </c>
      <c r="L62" s="186" t="s">
        <v>961</v>
      </c>
      <c r="M62" s="186" t="s">
        <v>924</v>
      </c>
      <c r="N62" s="186" t="s">
        <v>962</v>
      </c>
      <c r="O62" s="188">
        <v>46122</v>
      </c>
      <c r="P62" s="261" t="s">
        <v>963</v>
      </c>
      <c r="Q62" s="263"/>
      <c r="R62" s="264"/>
      <c r="S62" s="265">
        <f t="shared" ref="S62:S63" si="12">O62+4</f>
        <v>46126</v>
      </c>
      <c r="T62" s="264"/>
      <c r="U62" s="264"/>
      <c r="V62" s="264"/>
      <c r="W62" s="265">
        <f>O62+8</f>
        <v>46130</v>
      </c>
      <c r="X62" s="265">
        <f>O62+9</f>
        <v>46131</v>
      </c>
      <c r="Y62" s="264"/>
      <c r="Z62" s="264"/>
      <c r="AA62" s="264"/>
      <c r="AB62" s="264"/>
      <c r="AC62" s="385"/>
      <c r="AD62" s="267"/>
    </row>
    <row r="63" spans="1:30" ht="25.5" hidden="1" customHeight="1">
      <c r="A63" s="507">
        <v>15</v>
      </c>
      <c r="B63" s="163" t="s">
        <v>518</v>
      </c>
      <c r="C63" s="164" t="s">
        <v>964</v>
      </c>
      <c r="D63" s="167" t="s">
        <v>936</v>
      </c>
      <c r="E63" s="288"/>
      <c r="F63" s="170">
        <v>46118</v>
      </c>
      <c r="G63" s="180" t="s">
        <v>664</v>
      </c>
      <c r="H63" s="186"/>
      <c r="I63" s="186"/>
      <c r="J63" s="188"/>
      <c r="K63" s="186" t="s">
        <v>924</v>
      </c>
      <c r="L63" s="186" t="s">
        <v>965</v>
      </c>
      <c r="M63" s="186" t="s">
        <v>925</v>
      </c>
      <c r="N63" s="186" t="s">
        <v>966</v>
      </c>
      <c r="O63" s="188">
        <v>46124</v>
      </c>
      <c r="P63" s="194" t="s">
        <v>967</v>
      </c>
      <c r="Q63" s="388" t="s">
        <v>599</v>
      </c>
      <c r="R63" s="200"/>
      <c r="S63" s="199">
        <f t="shared" si="12"/>
        <v>46128</v>
      </c>
      <c r="T63" s="200"/>
      <c r="U63" s="200"/>
      <c r="V63" s="199">
        <f>O63+13</f>
        <v>46137</v>
      </c>
      <c r="W63" s="200"/>
      <c r="X63" s="202"/>
      <c r="Y63" s="200"/>
      <c r="Z63" s="200"/>
      <c r="AA63" s="200"/>
      <c r="AB63" s="200"/>
      <c r="AC63" s="200"/>
      <c r="AD63" s="205" t="s">
        <v>941</v>
      </c>
    </row>
    <row r="64" spans="1:30" ht="25.5" hidden="1" customHeight="1">
      <c r="A64" s="501"/>
      <c r="B64" s="163" t="s">
        <v>454</v>
      </c>
      <c r="C64" s="164" t="s">
        <v>968</v>
      </c>
      <c r="D64" s="167" t="s">
        <v>969</v>
      </c>
      <c r="E64" s="288"/>
      <c r="F64" s="289">
        <v>46120</v>
      </c>
      <c r="G64" s="180" t="s">
        <v>482</v>
      </c>
      <c r="H64" s="186"/>
      <c r="I64" s="186"/>
      <c r="J64" s="186" t="s">
        <v>599</v>
      </c>
      <c r="K64" s="186" t="s">
        <v>970</v>
      </c>
      <c r="L64" s="186" t="s">
        <v>971</v>
      </c>
      <c r="M64" s="186" t="s">
        <v>972</v>
      </c>
      <c r="N64" s="186" t="s">
        <v>973</v>
      </c>
      <c r="O64" s="188">
        <v>46127</v>
      </c>
      <c r="P64" s="350" t="s">
        <v>974</v>
      </c>
      <c r="Q64" s="197">
        <f>O64+4</f>
        <v>46131</v>
      </c>
      <c r="R64" s="199">
        <f>O64+5</f>
        <v>46132</v>
      </c>
      <c r="S64" s="200"/>
      <c r="T64" s="200"/>
      <c r="U64" s="200"/>
      <c r="V64" s="200"/>
      <c r="W64" s="200"/>
      <c r="X64" s="202"/>
      <c r="Y64" s="200"/>
      <c r="Z64" s="200"/>
      <c r="AA64" s="200"/>
      <c r="AB64" s="200"/>
      <c r="AC64" s="200"/>
      <c r="AD64" s="205" t="s">
        <v>755</v>
      </c>
    </row>
    <row r="65" spans="1:30" ht="25.5" hidden="1" customHeight="1">
      <c r="A65" s="501"/>
      <c r="B65" s="163" t="s">
        <v>204</v>
      </c>
      <c r="C65" s="164" t="s">
        <v>975</v>
      </c>
      <c r="D65" s="167" t="s">
        <v>520</v>
      </c>
      <c r="E65" s="289">
        <v>46119</v>
      </c>
      <c r="F65" s="289">
        <v>46119</v>
      </c>
      <c r="G65" s="209" t="s">
        <v>521</v>
      </c>
      <c r="H65" s="186" t="s">
        <v>976</v>
      </c>
      <c r="I65" s="186" t="s">
        <v>977</v>
      </c>
      <c r="J65" s="188">
        <v>46124</v>
      </c>
      <c r="K65" s="186" t="s">
        <v>976</v>
      </c>
      <c r="L65" s="186" t="s">
        <v>977</v>
      </c>
      <c r="M65" s="186" t="s">
        <v>978</v>
      </c>
      <c r="N65" s="186" t="s">
        <v>979</v>
      </c>
      <c r="O65" s="188">
        <v>46125</v>
      </c>
      <c r="P65" s="194" t="s">
        <v>980</v>
      </c>
      <c r="Q65" s="197">
        <f>O65+7</f>
        <v>46132</v>
      </c>
      <c r="R65" s="199">
        <f>O65+6</f>
        <v>46131</v>
      </c>
      <c r="S65" s="199">
        <f>O65+5</f>
        <v>46130</v>
      </c>
      <c r="T65" s="200"/>
      <c r="U65" s="200"/>
      <c r="V65" s="200"/>
      <c r="W65" s="200"/>
      <c r="X65" s="202"/>
      <c r="Y65" s="200"/>
      <c r="Z65" s="200"/>
      <c r="AA65" s="200"/>
      <c r="AB65" s="200"/>
      <c r="AC65" s="381"/>
      <c r="AD65" s="205" t="s">
        <v>542</v>
      </c>
    </row>
    <row r="66" spans="1:30" ht="25.5" hidden="1" customHeight="1">
      <c r="A66" s="502"/>
      <c r="B66" s="249" t="s">
        <v>62</v>
      </c>
      <c r="C66" s="252" t="s">
        <v>981</v>
      </c>
      <c r="D66" s="253" t="s">
        <v>606</v>
      </c>
      <c r="E66" s="254">
        <v>46120</v>
      </c>
      <c r="F66" s="254">
        <v>46119</v>
      </c>
      <c r="G66" s="259" t="s">
        <v>576</v>
      </c>
      <c r="H66" s="186" t="s">
        <v>976</v>
      </c>
      <c r="I66" s="186" t="s">
        <v>982</v>
      </c>
      <c r="J66" s="188">
        <v>46124</v>
      </c>
      <c r="K66" s="186" t="s">
        <v>976</v>
      </c>
      <c r="L66" s="186" t="s">
        <v>982</v>
      </c>
      <c r="M66" s="186" t="s">
        <v>842</v>
      </c>
      <c r="N66" s="186" t="s">
        <v>983</v>
      </c>
      <c r="O66" s="188">
        <v>46124</v>
      </c>
      <c r="P66" s="261" t="s">
        <v>984</v>
      </c>
      <c r="Q66" s="263"/>
      <c r="R66" s="264"/>
      <c r="S66" s="265">
        <f t="shared" ref="S66:S67" si="13">O66+4</f>
        <v>46128</v>
      </c>
      <c r="T66" s="264"/>
      <c r="U66" s="264"/>
      <c r="V66" s="264"/>
      <c r="W66" s="265">
        <f>O66+8</f>
        <v>46132</v>
      </c>
      <c r="X66" s="265">
        <f>O66+9</f>
        <v>46133</v>
      </c>
      <c r="Y66" s="264"/>
      <c r="Z66" s="264"/>
      <c r="AA66" s="264"/>
      <c r="AB66" s="264"/>
      <c r="AC66" s="264"/>
      <c r="AD66" s="267"/>
    </row>
    <row r="67" spans="1:30" ht="25.5" hidden="1" customHeight="1">
      <c r="A67" s="508">
        <v>16</v>
      </c>
      <c r="B67" s="163" t="s">
        <v>518</v>
      </c>
      <c r="C67" s="164" t="s">
        <v>985</v>
      </c>
      <c r="D67" s="167" t="s">
        <v>936</v>
      </c>
      <c r="E67" s="288"/>
      <c r="F67" s="170">
        <v>46120</v>
      </c>
      <c r="G67" s="180" t="s">
        <v>664</v>
      </c>
      <c r="H67" s="186"/>
      <c r="I67" s="186"/>
      <c r="J67" s="188"/>
      <c r="K67" s="186" t="s">
        <v>982</v>
      </c>
      <c r="L67" s="186" t="s">
        <v>986</v>
      </c>
      <c r="M67" s="186" t="s">
        <v>970</v>
      </c>
      <c r="N67" s="186" t="s">
        <v>987</v>
      </c>
      <c r="O67" s="188">
        <v>46125</v>
      </c>
      <c r="P67" s="194" t="s">
        <v>988</v>
      </c>
      <c r="Q67" s="197">
        <f>O67+5</f>
        <v>46130</v>
      </c>
      <c r="R67" s="200"/>
      <c r="S67" s="199">
        <f t="shared" si="13"/>
        <v>46129</v>
      </c>
      <c r="T67" s="200"/>
      <c r="U67" s="200"/>
      <c r="V67" s="199">
        <f>O67+13</f>
        <v>46138</v>
      </c>
      <c r="W67" s="200"/>
      <c r="X67" s="202"/>
      <c r="Y67" s="200"/>
      <c r="Z67" s="200"/>
      <c r="AA67" s="200"/>
      <c r="AB67" s="200"/>
      <c r="AC67" s="200"/>
      <c r="AD67" s="205" t="s">
        <v>941</v>
      </c>
    </row>
    <row r="68" spans="1:30" ht="25.5" hidden="1" customHeight="1">
      <c r="A68" s="501"/>
      <c r="B68" s="163" t="s">
        <v>454</v>
      </c>
      <c r="C68" s="164" t="s">
        <v>989</v>
      </c>
      <c r="D68" s="167" t="s">
        <v>478</v>
      </c>
      <c r="E68" s="289">
        <v>46126</v>
      </c>
      <c r="F68" s="289">
        <v>46125</v>
      </c>
      <c r="G68" s="180" t="s">
        <v>482</v>
      </c>
      <c r="H68" s="186" t="s">
        <v>990</v>
      </c>
      <c r="I68" s="186" t="s">
        <v>991</v>
      </c>
      <c r="J68" s="188">
        <v>46132</v>
      </c>
      <c r="K68" s="186" t="s">
        <v>990</v>
      </c>
      <c r="L68" s="186" t="s">
        <v>991</v>
      </c>
      <c r="M68" s="186" t="s">
        <v>992</v>
      </c>
      <c r="N68" s="186" t="s">
        <v>993</v>
      </c>
      <c r="O68" s="188">
        <v>46133</v>
      </c>
      <c r="P68" s="194" t="s">
        <v>994</v>
      </c>
      <c r="Q68" s="197">
        <f>O68+4</f>
        <v>46137</v>
      </c>
      <c r="R68" s="199">
        <f>O68+5</f>
        <v>46138</v>
      </c>
      <c r="S68" s="200"/>
      <c r="T68" s="200"/>
      <c r="U68" s="200"/>
      <c r="V68" s="200"/>
      <c r="W68" s="200"/>
      <c r="X68" s="202"/>
      <c r="Y68" s="200"/>
      <c r="Z68" s="200"/>
      <c r="AA68" s="200"/>
      <c r="AB68" s="200"/>
      <c r="AC68" s="200"/>
      <c r="AD68" s="205" t="s">
        <v>755</v>
      </c>
    </row>
    <row r="69" spans="1:30" ht="25.5" hidden="1" customHeight="1">
      <c r="A69" s="501"/>
      <c r="B69" s="163" t="s">
        <v>204</v>
      </c>
      <c r="C69" s="164" t="s">
        <v>995</v>
      </c>
      <c r="D69" s="167" t="s">
        <v>520</v>
      </c>
      <c r="E69" s="289">
        <v>46128</v>
      </c>
      <c r="F69" s="289">
        <v>46127</v>
      </c>
      <c r="G69" s="209" t="s">
        <v>521</v>
      </c>
      <c r="H69" s="186" t="s">
        <v>996</v>
      </c>
      <c r="I69" s="186" t="s">
        <v>996</v>
      </c>
      <c r="J69" s="188">
        <v>46133</v>
      </c>
      <c r="K69" s="186" t="s">
        <v>996</v>
      </c>
      <c r="L69" s="186" t="s">
        <v>996</v>
      </c>
      <c r="M69" s="186" t="s">
        <v>997</v>
      </c>
      <c r="N69" s="186" t="s">
        <v>998</v>
      </c>
      <c r="O69" s="188">
        <v>46134</v>
      </c>
      <c r="P69" s="194" t="s">
        <v>999</v>
      </c>
      <c r="Q69" s="197">
        <f>O69+5</f>
        <v>46139</v>
      </c>
      <c r="R69" s="199">
        <f>O69+6</f>
        <v>46140</v>
      </c>
      <c r="S69" s="200"/>
      <c r="T69" s="200"/>
      <c r="U69" s="200"/>
      <c r="V69" s="200"/>
      <c r="W69" s="200"/>
      <c r="X69" s="202"/>
      <c r="Y69" s="200"/>
      <c r="Z69" s="200"/>
      <c r="AA69" s="200"/>
      <c r="AB69" s="200"/>
      <c r="AC69" s="200"/>
      <c r="AD69" s="205"/>
    </row>
    <row r="70" spans="1:30" ht="25.5" hidden="1" customHeight="1">
      <c r="A70" s="501"/>
      <c r="B70" s="222" t="s">
        <v>65</v>
      </c>
      <c r="C70" s="164" t="s">
        <v>1000</v>
      </c>
      <c r="D70" s="223" t="s">
        <v>1001</v>
      </c>
      <c r="E70" s="170">
        <v>46137</v>
      </c>
      <c r="F70" s="170">
        <v>46136</v>
      </c>
      <c r="G70" s="295" t="s">
        <v>576</v>
      </c>
      <c r="H70" s="186" t="s">
        <v>1002</v>
      </c>
      <c r="I70" s="186" t="s">
        <v>1002</v>
      </c>
      <c r="J70" s="188">
        <v>46141</v>
      </c>
      <c r="K70" s="186" t="s">
        <v>1002</v>
      </c>
      <c r="L70" s="186" t="s">
        <v>1002</v>
      </c>
      <c r="M70" s="186" t="s">
        <v>1003</v>
      </c>
      <c r="N70" s="186" t="s">
        <v>1004</v>
      </c>
      <c r="O70" s="188">
        <v>46142</v>
      </c>
      <c r="P70" s="194" t="s">
        <v>1005</v>
      </c>
      <c r="Q70" s="233">
        <f>O70+4</f>
        <v>46146</v>
      </c>
      <c r="R70" s="231"/>
      <c r="S70" s="233">
        <f>O70+5</f>
        <v>46147</v>
      </c>
      <c r="T70" s="233">
        <f>O70+7</f>
        <v>46149</v>
      </c>
      <c r="U70" s="234"/>
      <c r="V70" s="233">
        <f>O70+12</f>
        <v>46154</v>
      </c>
      <c r="W70" s="233">
        <f>O70+13</f>
        <v>46155</v>
      </c>
      <c r="X70" s="231"/>
      <c r="Y70" s="231"/>
      <c r="Z70" s="231"/>
      <c r="AA70" s="231"/>
      <c r="AB70" s="231"/>
      <c r="AC70" s="371"/>
      <c r="AD70" s="372"/>
    </row>
    <row r="71" spans="1:30" ht="25.5" hidden="1" customHeight="1">
      <c r="A71" s="501"/>
      <c r="B71" s="249" t="s">
        <v>62</v>
      </c>
      <c r="C71" s="252" t="s">
        <v>1006</v>
      </c>
      <c r="D71" s="253" t="s">
        <v>606</v>
      </c>
      <c r="E71" s="254">
        <v>46125</v>
      </c>
      <c r="F71" s="254">
        <v>46124</v>
      </c>
      <c r="G71" s="259" t="s">
        <v>576</v>
      </c>
      <c r="H71" s="186" t="s">
        <v>1007</v>
      </c>
      <c r="I71" s="186" t="s">
        <v>955</v>
      </c>
      <c r="J71" s="188">
        <v>46129</v>
      </c>
      <c r="K71" s="186" t="s">
        <v>1007</v>
      </c>
      <c r="L71" s="186" t="s">
        <v>955</v>
      </c>
      <c r="M71" s="186" t="s">
        <v>1008</v>
      </c>
      <c r="N71" s="186" t="s">
        <v>1009</v>
      </c>
      <c r="O71" s="188">
        <v>46130</v>
      </c>
      <c r="P71" s="261" t="s">
        <v>1010</v>
      </c>
      <c r="Q71" s="263"/>
      <c r="R71" s="264"/>
      <c r="S71" s="265">
        <f t="shared" ref="S71:S72" si="14">O71+4</f>
        <v>46134</v>
      </c>
      <c r="T71" s="264"/>
      <c r="U71" s="264"/>
      <c r="V71" s="264"/>
      <c r="W71" s="265">
        <f>O71+8</f>
        <v>46138</v>
      </c>
      <c r="X71" s="265">
        <f>O71+9</f>
        <v>46139</v>
      </c>
      <c r="Y71" s="264"/>
      <c r="Z71" s="264"/>
      <c r="AA71" s="264"/>
      <c r="AB71" s="264"/>
      <c r="AC71" s="264"/>
      <c r="AD71" s="267"/>
    </row>
    <row r="72" spans="1:30" ht="25.5" hidden="1" customHeight="1">
      <c r="A72" s="507">
        <v>17</v>
      </c>
      <c r="B72" s="163" t="s">
        <v>518</v>
      </c>
      <c r="C72" s="164" t="s">
        <v>1011</v>
      </c>
      <c r="D72" s="167" t="s">
        <v>1012</v>
      </c>
      <c r="E72" s="288"/>
      <c r="F72" s="170">
        <v>46126</v>
      </c>
      <c r="G72" s="180" t="s">
        <v>1013</v>
      </c>
      <c r="H72" s="186"/>
      <c r="I72" s="186"/>
      <c r="J72" s="188"/>
      <c r="K72" s="186" t="s">
        <v>1014</v>
      </c>
      <c r="L72" s="186" t="s">
        <v>1015</v>
      </c>
      <c r="M72" s="186" t="s">
        <v>990</v>
      </c>
      <c r="N72" s="186" t="s">
        <v>1016</v>
      </c>
      <c r="O72" s="188">
        <v>46132</v>
      </c>
      <c r="P72" s="350"/>
      <c r="Q72" s="197">
        <f>O72+5</f>
        <v>46137</v>
      </c>
      <c r="R72" s="200"/>
      <c r="S72" s="199">
        <f t="shared" si="14"/>
        <v>46136</v>
      </c>
      <c r="T72" s="200"/>
      <c r="U72" s="200"/>
      <c r="V72" s="199">
        <f>O72+13</f>
        <v>46145</v>
      </c>
      <c r="W72" s="200"/>
      <c r="X72" s="202"/>
      <c r="Y72" s="200"/>
      <c r="Z72" s="200"/>
      <c r="AA72" s="200"/>
      <c r="AB72" s="200"/>
      <c r="AC72" s="200"/>
      <c r="AD72" s="205" t="s">
        <v>941</v>
      </c>
    </row>
    <row r="73" spans="1:30" ht="25.5" hidden="1" customHeight="1">
      <c r="A73" s="501"/>
      <c r="B73" s="163" t="s">
        <v>454</v>
      </c>
      <c r="C73" s="164" t="s">
        <v>1017</v>
      </c>
      <c r="D73" s="167" t="s">
        <v>969</v>
      </c>
      <c r="E73" s="289"/>
      <c r="F73" s="289">
        <v>46134</v>
      </c>
      <c r="G73" s="180" t="s">
        <v>482</v>
      </c>
      <c r="H73" s="186"/>
      <c r="I73" s="186"/>
      <c r="J73" s="186" t="s">
        <v>599</v>
      </c>
      <c r="K73" s="186" t="s">
        <v>1018</v>
      </c>
      <c r="L73" s="186" t="s">
        <v>1019</v>
      </c>
      <c r="M73" s="186" t="s">
        <v>1002</v>
      </c>
      <c r="N73" s="186" t="s">
        <v>1020</v>
      </c>
      <c r="O73" s="188">
        <v>46141</v>
      </c>
      <c r="P73" s="194" t="s">
        <v>1021</v>
      </c>
      <c r="Q73" s="197">
        <f>O73+4</f>
        <v>46145</v>
      </c>
      <c r="R73" s="199">
        <f>O73+5</f>
        <v>46146</v>
      </c>
      <c r="S73" s="200"/>
      <c r="T73" s="200"/>
      <c r="U73" s="200"/>
      <c r="V73" s="200"/>
      <c r="W73" s="200"/>
      <c r="X73" s="202"/>
      <c r="Y73" s="200"/>
      <c r="Z73" s="200"/>
      <c r="AA73" s="200"/>
      <c r="AB73" s="200"/>
      <c r="AC73" s="200"/>
      <c r="AD73" s="205" t="s">
        <v>755</v>
      </c>
    </row>
    <row r="74" spans="1:30" ht="25.5" hidden="1" customHeight="1">
      <c r="A74" s="501"/>
      <c r="B74" s="249" t="s">
        <v>204</v>
      </c>
      <c r="C74" s="252" t="s">
        <v>1022</v>
      </c>
      <c r="D74" s="253" t="s">
        <v>520</v>
      </c>
      <c r="E74" s="254">
        <v>46134</v>
      </c>
      <c r="F74" s="254">
        <v>46133</v>
      </c>
      <c r="G74" s="384" t="s">
        <v>521</v>
      </c>
      <c r="H74" s="186" t="s">
        <v>1023</v>
      </c>
      <c r="I74" s="186" t="s">
        <v>1024</v>
      </c>
      <c r="J74" s="188">
        <v>46138</v>
      </c>
      <c r="K74" s="186" t="s">
        <v>1023</v>
      </c>
      <c r="L74" s="186" t="s">
        <v>1024</v>
      </c>
      <c r="M74" s="186" t="s">
        <v>1025</v>
      </c>
      <c r="N74" s="186" t="s">
        <v>1026</v>
      </c>
      <c r="O74" s="188">
        <v>46140</v>
      </c>
      <c r="P74" s="194" t="s">
        <v>1027</v>
      </c>
      <c r="Q74" s="197">
        <f>O74+5</f>
        <v>46145</v>
      </c>
      <c r="R74" s="199">
        <f>O74+6</f>
        <v>46146</v>
      </c>
      <c r="S74" s="388" t="s">
        <v>599</v>
      </c>
      <c r="T74" s="200"/>
      <c r="U74" s="200"/>
      <c r="V74" s="200"/>
      <c r="W74" s="200"/>
      <c r="X74" s="202"/>
      <c r="Y74" s="200"/>
      <c r="Z74" s="200"/>
      <c r="AA74" s="200"/>
      <c r="AB74" s="200"/>
      <c r="AC74" s="234"/>
      <c r="AD74" s="205" t="s">
        <v>542</v>
      </c>
    </row>
    <row r="75" spans="1:30" ht="25.5" hidden="1" customHeight="1">
      <c r="A75" s="501"/>
      <c r="B75" s="222" t="s">
        <v>65</v>
      </c>
      <c r="C75" s="164" t="s">
        <v>1028</v>
      </c>
      <c r="D75" s="223" t="s">
        <v>705</v>
      </c>
      <c r="E75" s="289">
        <v>46145</v>
      </c>
      <c r="F75" s="289">
        <v>46144</v>
      </c>
      <c r="G75" s="180" t="s">
        <v>576</v>
      </c>
      <c r="H75" s="186" t="s">
        <v>1029</v>
      </c>
      <c r="I75" s="186" t="s">
        <v>1029</v>
      </c>
      <c r="J75" s="188">
        <v>46150</v>
      </c>
      <c r="K75" s="186" t="s">
        <v>1029</v>
      </c>
      <c r="L75" s="186" t="s">
        <v>1029</v>
      </c>
      <c r="M75" s="186" t="s">
        <v>1030</v>
      </c>
      <c r="N75" s="336" t="s">
        <v>1031</v>
      </c>
      <c r="O75" s="337">
        <v>46151</v>
      </c>
      <c r="P75" s="194" t="s">
        <v>1032</v>
      </c>
      <c r="Q75" s="197">
        <f>O75+4</f>
        <v>46155</v>
      </c>
      <c r="R75" s="231"/>
      <c r="S75" s="233">
        <f>O75+5</f>
        <v>46156</v>
      </c>
      <c r="T75" s="233">
        <f>O75+7</f>
        <v>46158</v>
      </c>
      <c r="U75" s="234"/>
      <c r="V75" s="233">
        <f>O75+12</f>
        <v>46163</v>
      </c>
      <c r="W75" s="233">
        <f>O75+13</f>
        <v>46164</v>
      </c>
      <c r="X75" s="231"/>
      <c r="Y75" s="231"/>
      <c r="Z75" s="231"/>
      <c r="AA75" s="231"/>
      <c r="AB75" s="231"/>
      <c r="AC75" s="231"/>
      <c r="AD75" s="237"/>
    </row>
    <row r="76" spans="1:30" ht="25.5" hidden="1" customHeight="1">
      <c r="A76" s="502"/>
      <c r="B76" s="249" t="s">
        <v>62</v>
      </c>
      <c r="C76" s="252" t="s">
        <v>1033</v>
      </c>
      <c r="D76" s="253" t="s">
        <v>606</v>
      </c>
      <c r="E76" s="254">
        <v>46134</v>
      </c>
      <c r="F76" s="254">
        <v>46133</v>
      </c>
      <c r="G76" s="259" t="s">
        <v>576</v>
      </c>
      <c r="H76" s="186" t="s">
        <v>1034</v>
      </c>
      <c r="I76" s="186" t="s">
        <v>1035</v>
      </c>
      <c r="J76" s="188">
        <v>46138</v>
      </c>
      <c r="K76" s="186" t="s">
        <v>1034</v>
      </c>
      <c r="L76" s="186" t="s">
        <v>1035</v>
      </c>
      <c r="M76" s="186" t="s">
        <v>1036</v>
      </c>
      <c r="N76" s="186" t="s">
        <v>1037</v>
      </c>
      <c r="O76" s="188">
        <v>46139</v>
      </c>
      <c r="P76" s="261" t="s">
        <v>1038</v>
      </c>
      <c r="Q76" s="263"/>
      <c r="R76" s="264"/>
      <c r="S76" s="265">
        <f>O76+4</f>
        <v>46143</v>
      </c>
      <c r="T76" s="264"/>
      <c r="U76" s="264"/>
      <c r="V76" s="264"/>
      <c r="W76" s="265">
        <f>O76+8</f>
        <v>46147</v>
      </c>
      <c r="X76" s="265">
        <f>O76+9</f>
        <v>46148</v>
      </c>
      <c r="Y76" s="264"/>
      <c r="Z76" s="264"/>
      <c r="AA76" s="264"/>
      <c r="AB76" s="264"/>
      <c r="AC76" s="264"/>
      <c r="AD76" s="267"/>
    </row>
    <row r="77" spans="1:30" ht="25.5" hidden="1" customHeight="1">
      <c r="A77" s="507">
        <v>18</v>
      </c>
      <c r="B77" s="163" t="s">
        <v>535</v>
      </c>
      <c r="C77" s="164" t="s">
        <v>1039</v>
      </c>
      <c r="D77" s="167" t="s">
        <v>1040</v>
      </c>
      <c r="E77" s="288"/>
      <c r="F77" s="170">
        <v>46132</v>
      </c>
      <c r="G77" s="180" t="s">
        <v>1041</v>
      </c>
      <c r="H77" s="186"/>
      <c r="I77" s="186"/>
      <c r="J77" s="188"/>
      <c r="K77" s="186" t="s">
        <v>1042</v>
      </c>
      <c r="L77" s="186" t="s">
        <v>1043</v>
      </c>
      <c r="M77" s="186" t="s">
        <v>1044</v>
      </c>
      <c r="N77" s="186" t="s">
        <v>1045</v>
      </c>
      <c r="O77" s="188">
        <v>46138</v>
      </c>
      <c r="P77" s="350"/>
      <c r="Q77" s="389"/>
      <c r="R77" s="200"/>
      <c r="S77" s="200"/>
      <c r="T77" s="200"/>
      <c r="U77" s="200"/>
      <c r="V77" s="200"/>
      <c r="W77" s="200"/>
      <c r="X77" s="202"/>
      <c r="Y77" s="199">
        <f>O77+4</f>
        <v>46142</v>
      </c>
      <c r="Z77" s="199">
        <f>O77+6</f>
        <v>46144</v>
      </c>
      <c r="AA77" s="199">
        <f>O77+14</f>
        <v>46152</v>
      </c>
      <c r="AB77" s="199">
        <f>O77+16</f>
        <v>46154</v>
      </c>
      <c r="AC77" s="199">
        <f>O77+18</f>
        <v>46156</v>
      </c>
      <c r="AD77" s="205" t="s">
        <v>1046</v>
      </c>
    </row>
    <row r="78" spans="1:30" ht="25.5" hidden="1" customHeight="1">
      <c r="A78" s="501"/>
      <c r="B78" s="377" t="s">
        <v>518</v>
      </c>
      <c r="C78" s="378" t="s">
        <v>1047</v>
      </c>
      <c r="D78" s="379" t="s">
        <v>1048</v>
      </c>
      <c r="E78" s="374"/>
      <c r="F78" s="390">
        <v>46136</v>
      </c>
      <c r="G78" s="391" t="s">
        <v>1049</v>
      </c>
      <c r="H78" s="336"/>
      <c r="I78" s="336"/>
      <c r="J78" s="337"/>
      <c r="K78" s="336" t="s">
        <v>1002</v>
      </c>
      <c r="L78" s="336" t="s">
        <v>1002</v>
      </c>
      <c r="M78" s="336" t="s">
        <v>1003</v>
      </c>
      <c r="N78" s="336" t="s">
        <v>1050</v>
      </c>
      <c r="O78" s="337">
        <v>46143</v>
      </c>
      <c r="P78" s="392" t="s">
        <v>1051</v>
      </c>
      <c r="Q78" s="197">
        <f>O78+5</f>
        <v>46148</v>
      </c>
      <c r="R78" s="200"/>
      <c r="S78" s="199">
        <f>O78+4</f>
        <v>46147</v>
      </c>
      <c r="T78" s="200"/>
      <c r="U78" s="200"/>
      <c r="V78" s="199">
        <f>O78+13</f>
        <v>46156</v>
      </c>
      <c r="W78" s="200"/>
      <c r="X78" s="202"/>
      <c r="Y78" s="200"/>
      <c r="Z78" s="200"/>
      <c r="AA78" s="200"/>
      <c r="AB78" s="200"/>
      <c r="AC78" s="200"/>
      <c r="AD78" s="205" t="s">
        <v>941</v>
      </c>
    </row>
    <row r="79" spans="1:30" ht="25.5" hidden="1" customHeight="1">
      <c r="A79" s="501"/>
      <c r="B79" s="163" t="s">
        <v>454</v>
      </c>
      <c r="C79" s="164" t="s">
        <v>1052</v>
      </c>
      <c r="D79" s="167" t="s">
        <v>969</v>
      </c>
      <c r="E79" s="288"/>
      <c r="F79" s="289">
        <v>46139</v>
      </c>
      <c r="G79" s="180" t="s">
        <v>482</v>
      </c>
      <c r="H79" s="186"/>
      <c r="I79" s="186"/>
      <c r="J79" s="186" t="s">
        <v>599</v>
      </c>
      <c r="K79" s="186" t="s">
        <v>1053</v>
      </c>
      <c r="L79" s="186" t="s">
        <v>1054</v>
      </c>
      <c r="M79" s="186" t="s">
        <v>1055</v>
      </c>
      <c r="N79" s="186" t="s">
        <v>1056</v>
      </c>
      <c r="O79" s="188">
        <v>46147</v>
      </c>
      <c r="P79" s="194" t="s">
        <v>1057</v>
      </c>
      <c r="Q79" s="197">
        <f>O79+4</f>
        <v>46151</v>
      </c>
      <c r="R79" s="199">
        <f>O79+5</f>
        <v>46152</v>
      </c>
      <c r="S79" s="200"/>
      <c r="T79" s="200"/>
      <c r="U79" s="200"/>
      <c r="V79" s="200"/>
      <c r="W79" s="200"/>
      <c r="X79" s="202"/>
      <c r="Y79" s="200"/>
      <c r="Z79" s="200"/>
      <c r="AA79" s="200"/>
      <c r="AB79" s="200"/>
      <c r="AC79" s="200"/>
      <c r="AD79" s="205" t="s">
        <v>755</v>
      </c>
    </row>
    <row r="80" spans="1:30" ht="25.5" hidden="1" customHeight="1">
      <c r="A80" s="501"/>
      <c r="B80" s="163" t="s">
        <v>204</v>
      </c>
      <c r="C80" s="164" t="s">
        <v>1058</v>
      </c>
      <c r="D80" s="167" t="s">
        <v>520</v>
      </c>
      <c r="E80" s="289">
        <v>46142</v>
      </c>
      <c r="F80" s="289">
        <v>46141</v>
      </c>
      <c r="G80" s="209" t="s">
        <v>521</v>
      </c>
      <c r="H80" s="186" t="s">
        <v>1059</v>
      </c>
      <c r="I80" s="186" t="s">
        <v>1054</v>
      </c>
      <c r="J80" s="188">
        <v>46146</v>
      </c>
      <c r="K80" s="186" t="s">
        <v>1059</v>
      </c>
      <c r="L80" s="186" t="s">
        <v>1054</v>
      </c>
      <c r="M80" s="186" t="s">
        <v>1060</v>
      </c>
      <c r="N80" s="186" t="s">
        <v>1061</v>
      </c>
      <c r="O80" s="337">
        <v>46147</v>
      </c>
      <c r="P80" s="393" t="s">
        <v>1062</v>
      </c>
      <c r="Q80" s="197">
        <f>O80+5</f>
        <v>46152</v>
      </c>
      <c r="R80" s="199">
        <f>O80+6</f>
        <v>46153</v>
      </c>
      <c r="S80" s="200"/>
      <c r="T80" s="200"/>
      <c r="U80" s="200"/>
      <c r="V80" s="200"/>
      <c r="W80" s="200"/>
      <c r="X80" s="202"/>
      <c r="Y80" s="200"/>
      <c r="Z80" s="200"/>
      <c r="AA80" s="200"/>
      <c r="AB80" s="200"/>
      <c r="AC80" s="200"/>
      <c r="AD80" s="205"/>
    </row>
    <row r="81" spans="1:30" ht="25.5" hidden="1" customHeight="1">
      <c r="A81" s="501"/>
      <c r="B81" s="222" t="s">
        <v>65</v>
      </c>
      <c r="C81" s="164" t="s">
        <v>1063</v>
      </c>
      <c r="D81" s="223" t="s">
        <v>705</v>
      </c>
      <c r="E81" s="170">
        <v>46149</v>
      </c>
      <c r="F81" s="170">
        <v>46148</v>
      </c>
      <c r="G81" s="295" t="s">
        <v>576</v>
      </c>
      <c r="H81" s="186" t="s">
        <v>1064</v>
      </c>
      <c r="I81" s="186" t="s">
        <v>1064</v>
      </c>
      <c r="J81" s="188">
        <v>46155</v>
      </c>
      <c r="K81" s="186" t="s">
        <v>1064</v>
      </c>
      <c r="L81" s="186" t="s">
        <v>1064</v>
      </c>
      <c r="M81" s="186" t="s">
        <v>1065</v>
      </c>
      <c r="N81" s="186" t="s">
        <v>1066</v>
      </c>
      <c r="O81" s="188">
        <v>46157</v>
      </c>
      <c r="P81" s="194" t="s">
        <v>1067</v>
      </c>
      <c r="Q81" s="197">
        <f t="shared" ref="Q81:Q86" si="15">O81+4</f>
        <v>46161</v>
      </c>
      <c r="R81" s="231"/>
      <c r="S81" s="233">
        <f t="shared" ref="S81:S83" si="16">O81+5</f>
        <v>46162</v>
      </c>
      <c r="T81" s="233">
        <f>O81+7</f>
        <v>46164</v>
      </c>
      <c r="U81" s="234"/>
      <c r="V81" s="233">
        <f>O81+12</f>
        <v>46169</v>
      </c>
      <c r="W81" s="233">
        <f>O81+13</f>
        <v>46170</v>
      </c>
      <c r="X81" s="231"/>
      <c r="Y81" s="231"/>
      <c r="Z81" s="231"/>
      <c r="AA81" s="231"/>
      <c r="AB81" s="383"/>
      <c r="AC81" s="383"/>
      <c r="AD81" s="372"/>
    </row>
    <row r="82" spans="1:30" ht="25.5" hidden="1" customHeight="1">
      <c r="A82" s="502"/>
      <c r="B82" s="332" t="s">
        <v>62</v>
      </c>
      <c r="C82" s="333" t="s">
        <v>1068</v>
      </c>
      <c r="D82" s="334" t="s">
        <v>606</v>
      </c>
      <c r="E82" s="335">
        <v>46140</v>
      </c>
      <c r="F82" s="335">
        <v>46139</v>
      </c>
      <c r="G82" s="259" t="s">
        <v>576</v>
      </c>
      <c r="H82" s="336" t="s">
        <v>1069</v>
      </c>
      <c r="I82" s="336" t="s">
        <v>1070</v>
      </c>
      <c r="J82" s="337">
        <v>46145</v>
      </c>
      <c r="K82" s="336" t="s">
        <v>1069</v>
      </c>
      <c r="L82" s="336" t="s">
        <v>1070</v>
      </c>
      <c r="M82" s="336" t="s">
        <v>1059</v>
      </c>
      <c r="N82" s="336" t="s">
        <v>1071</v>
      </c>
      <c r="O82" s="337">
        <v>46146</v>
      </c>
      <c r="P82" s="261" t="s">
        <v>1072</v>
      </c>
      <c r="Q82" s="394">
        <f t="shared" si="15"/>
        <v>46150</v>
      </c>
      <c r="R82" s="264"/>
      <c r="S82" s="265">
        <f t="shared" si="16"/>
        <v>46151</v>
      </c>
      <c r="T82" s="264"/>
      <c r="U82" s="264"/>
      <c r="V82" s="264"/>
      <c r="W82" s="265">
        <f>O82+9</f>
        <v>46155</v>
      </c>
      <c r="X82" s="265">
        <f>O82+10</f>
        <v>46156</v>
      </c>
      <c r="Y82" s="264"/>
      <c r="Z82" s="264"/>
      <c r="AA82" s="264"/>
      <c r="AB82" s="264"/>
      <c r="AC82" s="264"/>
      <c r="AD82" s="267"/>
    </row>
    <row r="83" spans="1:30" ht="25.5" hidden="1" customHeight="1">
      <c r="A83" s="507">
        <v>19</v>
      </c>
      <c r="B83" s="377" t="s">
        <v>518</v>
      </c>
      <c r="C83" s="378" t="s">
        <v>1073</v>
      </c>
      <c r="D83" s="379" t="s">
        <v>936</v>
      </c>
      <c r="E83" s="374"/>
      <c r="F83" s="390">
        <v>46144</v>
      </c>
      <c r="G83" s="180" t="s">
        <v>664</v>
      </c>
      <c r="H83" s="336"/>
      <c r="I83" s="336"/>
      <c r="J83" s="337"/>
      <c r="K83" s="336" t="s">
        <v>1029</v>
      </c>
      <c r="L83" s="336" t="s">
        <v>1074</v>
      </c>
      <c r="M83" s="336" t="s">
        <v>1075</v>
      </c>
      <c r="N83" s="336" t="s">
        <v>1076</v>
      </c>
      <c r="O83" s="337">
        <v>46151</v>
      </c>
      <c r="P83" s="194" t="s">
        <v>1077</v>
      </c>
      <c r="Q83" s="197">
        <f t="shared" si="15"/>
        <v>46155</v>
      </c>
      <c r="R83" s="200"/>
      <c r="S83" s="199">
        <f t="shared" si="16"/>
        <v>46156</v>
      </c>
      <c r="T83" s="200"/>
      <c r="U83" s="200"/>
      <c r="V83" s="199">
        <f>O83+13</f>
        <v>46164</v>
      </c>
      <c r="W83" s="200"/>
      <c r="X83" s="202"/>
      <c r="Y83" s="200"/>
      <c r="Z83" s="200"/>
      <c r="AA83" s="200"/>
      <c r="AB83" s="200"/>
      <c r="AC83" s="200"/>
      <c r="AD83" s="205" t="s">
        <v>941</v>
      </c>
    </row>
    <row r="84" spans="1:30" ht="25.5" hidden="1" customHeight="1">
      <c r="A84" s="501"/>
      <c r="B84" s="163" t="s">
        <v>454</v>
      </c>
      <c r="C84" s="164" t="s">
        <v>1078</v>
      </c>
      <c r="D84" s="167" t="s">
        <v>1079</v>
      </c>
      <c r="E84" s="288"/>
      <c r="F84" s="289">
        <v>46148</v>
      </c>
      <c r="G84" s="180" t="s">
        <v>482</v>
      </c>
      <c r="H84" s="186"/>
      <c r="I84" s="186"/>
      <c r="J84" s="186" t="s">
        <v>599</v>
      </c>
      <c r="K84" s="186" t="s">
        <v>1080</v>
      </c>
      <c r="L84" s="186" t="s">
        <v>1081</v>
      </c>
      <c r="M84" s="186" t="s">
        <v>1082</v>
      </c>
      <c r="N84" s="186" t="s">
        <v>1083</v>
      </c>
      <c r="O84" s="188">
        <v>46157</v>
      </c>
      <c r="P84" s="194" t="s">
        <v>1084</v>
      </c>
      <c r="Q84" s="197">
        <f t="shared" si="15"/>
        <v>46161</v>
      </c>
      <c r="R84" s="199">
        <f t="shared" ref="R84:R85" si="17">O84+5</f>
        <v>46162</v>
      </c>
      <c r="S84" s="200"/>
      <c r="T84" s="200"/>
      <c r="U84" s="200"/>
      <c r="V84" s="200"/>
      <c r="W84" s="200"/>
      <c r="X84" s="202"/>
      <c r="Y84" s="200"/>
      <c r="Z84" s="200"/>
      <c r="AA84" s="200"/>
      <c r="AB84" s="200"/>
      <c r="AC84" s="200"/>
      <c r="AD84" s="205" t="s">
        <v>755</v>
      </c>
    </row>
    <row r="85" spans="1:30" ht="25.5" hidden="1" customHeight="1">
      <c r="A85" s="501"/>
      <c r="B85" s="163" t="s">
        <v>204</v>
      </c>
      <c r="C85" s="164" t="s">
        <v>1085</v>
      </c>
      <c r="D85" s="167" t="s">
        <v>520</v>
      </c>
      <c r="E85" s="289">
        <v>46148</v>
      </c>
      <c r="F85" s="289">
        <v>46147</v>
      </c>
      <c r="G85" s="209" t="s">
        <v>521</v>
      </c>
      <c r="H85" s="186" t="s">
        <v>1086</v>
      </c>
      <c r="I85" s="186" t="s">
        <v>1086</v>
      </c>
      <c r="J85" s="188">
        <v>46153</v>
      </c>
      <c r="K85" s="186" t="s">
        <v>1086</v>
      </c>
      <c r="L85" s="186" t="s">
        <v>1086</v>
      </c>
      <c r="M85" s="186" t="s">
        <v>1064</v>
      </c>
      <c r="N85" s="186" t="s">
        <v>1087</v>
      </c>
      <c r="O85" s="188">
        <v>46155</v>
      </c>
      <c r="P85" s="194" t="s">
        <v>1088</v>
      </c>
      <c r="Q85" s="197">
        <f t="shared" si="15"/>
        <v>46159</v>
      </c>
      <c r="R85" s="199">
        <f t="shared" si="17"/>
        <v>46160</v>
      </c>
      <c r="S85" s="388" t="s">
        <v>599</v>
      </c>
      <c r="T85" s="200"/>
      <c r="U85" s="200"/>
      <c r="V85" s="200"/>
      <c r="W85" s="200"/>
      <c r="X85" s="202"/>
      <c r="Y85" s="200"/>
      <c r="Z85" s="200"/>
      <c r="AA85" s="200"/>
      <c r="AB85" s="200"/>
      <c r="AC85" s="234"/>
      <c r="AD85" s="205" t="s">
        <v>542</v>
      </c>
    </row>
    <row r="86" spans="1:30" ht="25.5" hidden="1" customHeight="1">
      <c r="A86" s="502"/>
      <c r="B86" s="249" t="s">
        <v>62</v>
      </c>
      <c r="C86" s="252" t="s">
        <v>1089</v>
      </c>
      <c r="D86" s="253" t="s">
        <v>606</v>
      </c>
      <c r="E86" s="254">
        <v>46145</v>
      </c>
      <c r="F86" s="254">
        <v>46144</v>
      </c>
      <c r="G86" s="259" t="s">
        <v>576</v>
      </c>
      <c r="H86" s="186" t="s">
        <v>1090</v>
      </c>
      <c r="I86" s="186" t="s">
        <v>1029</v>
      </c>
      <c r="J86" s="188">
        <v>46148</v>
      </c>
      <c r="K86" s="186" t="s">
        <v>1090</v>
      </c>
      <c r="L86" s="186" t="s">
        <v>1029</v>
      </c>
      <c r="M86" s="186" t="s">
        <v>1091</v>
      </c>
      <c r="N86" s="186" t="s">
        <v>1092</v>
      </c>
      <c r="O86" s="188">
        <v>46150</v>
      </c>
      <c r="P86" s="395"/>
      <c r="Q86" s="265">
        <f t="shared" si="15"/>
        <v>46154</v>
      </c>
      <c r="R86" s="264"/>
      <c r="S86" s="265">
        <f>O86+5</f>
        <v>46155</v>
      </c>
      <c r="T86" s="264"/>
      <c r="U86" s="264"/>
      <c r="V86" s="264"/>
      <c r="W86" s="265">
        <f>O86+8</f>
        <v>46158</v>
      </c>
      <c r="X86" s="265">
        <f>O86+9</f>
        <v>46159</v>
      </c>
      <c r="Y86" s="264"/>
      <c r="Z86" s="264"/>
      <c r="AA86" s="264"/>
      <c r="AB86" s="264"/>
      <c r="AC86" s="264"/>
      <c r="AD86" s="267"/>
    </row>
    <row r="87" spans="1:30" ht="25.5" hidden="1" customHeight="1">
      <c r="A87" s="507">
        <v>20</v>
      </c>
      <c r="B87" s="163" t="s">
        <v>535</v>
      </c>
      <c r="C87" s="164" t="s">
        <v>1093</v>
      </c>
      <c r="D87" s="167" t="s">
        <v>1094</v>
      </c>
      <c r="E87" s="288"/>
      <c r="F87" s="289">
        <v>46146</v>
      </c>
      <c r="G87" s="180" t="s">
        <v>1041</v>
      </c>
      <c r="H87" s="186"/>
      <c r="I87" s="186"/>
      <c r="J87" s="188"/>
      <c r="K87" s="186" t="s">
        <v>1075</v>
      </c>
      <c r="L87" s="186" t="s">
        <v>1095</v>
      </c>
      <c r="M87" s="186" t="s">
        <v>1030</v>
      </c>
      <c r="N87" s="186" t="s">
        <v>1096</v>
      </c>
      <c r="O87" s="188">
        <v>46152</v>
      </c>
      <c r="P87" s="350"/>
      <c r="Q87" s="389"/>
      <c r="R87" s="200"/>
      <c r="S87" s="200"/>
      <c r="T87" s="200"/>
      <c r="U87" s="200"/>
      <c r="V87" s="200"/>
      <c r="W87" s="200"/>
      <c r="X87" s="202"/>
      <c r="Y87" s="199">
        <f>O87+4</f>
        <v>46156</v>
      </c>
      <c r="Z87" s="199">
        <f>O87+6</f>
        <v>46158</v>
      </c>
      <c r="AA87" s="199">
        <f>O87+14</f>
        <v>46166</v>
      </c>
      <c r="AB87" s="199">
        <f>O87+16</f>
        <v>46168</v>
      </c>
      <c r="AC87" s="199">
        <f>O87+18</f>
        <v>46170</v>
      </c>
      <c r="AD87" s="205" t="s">
        <v>1046</v>
      </c>
    </row>
    <row r="88" spans="1:30" ht="25.5" hidden="1" customHeight="1">
      <c r="A88" s="501"/>
      <c r="B88" s="163" t="s">
        <v>518</v>
      </c>
      <c r="C88" s="164" t="s">
        <v>1097</v>
      </c>
      <c r="D88" s="167" t="s">
        <v>1098</v>
      </c>
      <c r="E88" s="288"/>
      <c r="F88" s="289">
        <v>46147</v>
      </c>
      <c r="G88" s="180" t="s">
        <v>664</v>
      </c>
      <c r="H88" s="186"/>
      <c r="I88" s="186"/>
      <c r="J88" s="188"/>
      <c r="K88" s="186" t="s">
        <v>1099</v>
      </c>
      <c r="L88" s="186" t="s">
        <v>1100</v>
      </c>
      <c r="M88" s="186" t="s">
        <v>1101</v>
      </c>
      <c r="N88" s="186" t="s">
        <v>1102</v>
      </c>
      <c r="O88" s="188">
        <v>46153</v>
      </c>
      <c r="P88" s="350"/>
      <c r="Q88" s="197">
        <f>O88+4</f>
        <v>46157</v>
      </c>
      <c r="R88" s="200"/>
      <c r="S88" s="197">
        <f>O88+5</f>
        <v>46158</v>
      </c>
      <c r="T88" s="200"/>
      <c r="U88" s="200"/>
      <c r="V88" s="199">
        <f>O88+13</f>
        <v>46166</v>
      </c>
      <c r="W88" s="200"/>
      <c r="X88" s="202"/>
      <c r="Y88" s="200"/>
      <c r="Z88" s="200"/>
      <c r="AA88" s="200"/>
      <c r="AB88" s="200"/>
      <c r="AC88" s="200"/>
      <c r="AD88" s="205" t="s">
        <v>941</v>
      </c>
    </row>
    <row r="89" spans="1:30" ht="25.5" hidden="1" customHeight="1">
      <c r="A89" s="501"/>
      <c r="B89" s="163" t="s">
        <v>454</v>
      </c>
      <c r="C89" s="164" t="s">
        <v>1103</v>
      </c>
      <c r="D89" s="167" t="s">
        <v>478</v>
      </c>
      <c r="E89" s="289">
        <v>46155</v>
      </c>
      <c r="F89" s="289">
        <v>46154</v>
      </c>
      <c r="G89" s="180" t="s">
        <v>482</v>
      </c>
      <c r="H89" s="186" t="s">
        <v>1104</v>
      </c>
      <c r="I89" s="186" t="s">
        <v>1104</v>
      </c>
      <c r="J89" s="188">
        <v>46160</v>
      </c>
      <c r="K89" s="186" t="s">
        <v>1104</v>
      </c>
      <c r="L89" s="186" t="s">
        <v>1104</v>
      </c>
      <c r="M89" s="186" t="s">
        <v>1105</v>
      </c>
      <c r="N89" s="186" t="s">
        <v>1106</v>
      </c>
      <c r="O89" s="188">
        <v>46161</v>
      </c>
      <c r="P89" s="194" t="s">
        <v>1107</v>
      </c>
      <c r="Q89" s="197">
        <f>O89+5</f>
        <v>46166</v>
      </c>
      <c r="R89" s="199">
        <f>O89+4</f>
        <v>46165</v>
      </c>
      <c r="S89" s="200"/>
      <c r="T89" s="200"/>
      <c r="U89" s="200"/>
      <c r="V89" s="200"/>
      <c r="W89" s="200"/>
      <c r="X89" s="202"/>
      <c r="Y89" s="200"/>
      <c r="Z89" s="200"/>
      <c r="AA89" s="200"/>
      <c r="AB89" s="200"/>
      <c r="AC89" s="200"/>
      <c r="AD89" s="205" t="s">
        <v>755</v>
      </c>
    </row>
    <row r="90" spans="1:30" ht="25.5" hidden="1" customHeight="1">
      <c r="A90" s="501"/>
      <c r="B90" s="396" t="s">
        <v>1108</v>
      </c>
      <c r="C90" s="397" t="s">
        <v>1109</v>
      </c>
      <c r="D90" s="398" t="s">
        <v>1110</v>
      </c>
      <c r="E90" s="399"/>
      <c r="F90" s="400"/>
      <c r="G90" s="401" t="s">
        <v>1111</v>
      </c>
      <c r="H90" s="402"/>
      <c r="I90" s="403"/>
      <c r="J90" s="404"/>
      <c r="K90" s="402" t="s">
        <v>1112</v>
      </c>
      <c r="L90" s="403" t="s">
        <v>1113</v>
      </c>
      <c r="M90" s="402" t="s">
        <v>1114</v>
      </c>
      <c r="N90" s="403" t="s">
        <v>1115</v>
      </c>
      <c r="O90" s="405">
        <v>46164</v>
      </c>
      <c r="P90" s="406"/>
      <c r="Q90" s="389"/>
      <c r="R90" s="200"/>
      <c r="S90" s="200"/>
      <c r="T90" s="200"/>
      <c r="U90" s="200"/>
      <c r="V90" s="200"/>
      <c r="W90" s="200"/>
      <c r="X90" s="202"/>
      <c r="Y90" s="200"/>
      <c r="Z90" s="200"/>
      <c r="AA90" s="199">
        <f>O90+12</f>
        <v>46176</v>
      </c>
      <c r="AB90" s="200"/>
      <c r="AC90" s="200"/>
      <c r="AD90" s="205" t="s">
        <v>1116</v>
      </c>
    </row>
    <row r="91" spans="1:30" ht="25.5" hidden="1" customHeight="1">
      <c r="A91" s="501"/>
      <c r="B91" s="163" t="s">
        <v>204</v>
      </c>
      <c r="C91" s="164" t="s">
        <v>1117</v>
      </c>
      <c r="D91" s="167" t="s">
        <v>520</v>
      </c>
      <c r="E91" s="289">
        <v>46155</v>
      </c>
      <c r="F91" s="289">
        <v>46153</v>
      </c>
      <c r="G91" s="209" t="s">
        <v>521</v>
      </c>
      <c r="H91" s="186" t="s">
        <v>1118</v>
      </c>
      <c r="I91" s="186" t="s">
        <v>1119</v>
      </c>
      <c r="J91" s="188">
        <v>46159</v>
      </c>
      <c r="K91" s="186" t="s">
        <v>1118</v>
      </c>
      <c r="L91" s="186" t="s">
        <v>1119</v>
      </c>
      <c r="M91" s="186" t="s">
        <v>1120</v>
      </c>
      <c r="N91" s="186" t="s">
        <v>1121</v>
      </c>
      <c r="O91" s="188">
        <v>46160</v>
      </c>
      <c r="P91" s="194" t="s">
        <v>1122</v>
      </c>
      <c r="Q91" s="197">
        <f>O91+5</f>
        <v>46165</v>
      </c>
      <c r="R91" s="199">
        <f>O91+6</f>
        <v>46166</v>
      </c>
      <c r="S91" s="200"/>
      <c r="T91" s="200"/>
      <c r="U91" s="200"/>
      <c r="V91" s="200"/>
      <c r="W91" s="200"/>
      <c r="X91" s="202"/>
      <c r="Y91" s="200"/>
      <c r="Z91" s="200"/>
      <c r="AA91" s="200"/>
      <c r="AB91" s="200"/>
      <c r="AC91" s="200"/>
      <c r="AD91" s="205"/>
    </row>
    <row r="92" spans="1:30" ht="25.5" hidden="1" customHeight="1">
      <c r="A92" s="501"/>
      <c r="B92" s="222" t="s">
        <v>65</v>
      </c>
      <c r="C92" s="164" t="s">
        <v>1123</v>
      </c>
      <c r="D92" s="223" t="s">
        <v>1124</v>
      </c>
      <c r="E92" s="170">
        <v>46162</v>
      </c>
      <c r="F92" s="170">
        <v>46161</v>
      </c>
      <c r="G92" s="180" t="s">
        <v>482</v>
      </c>
      <c r="H92" s="186" t="s">
        <v>1125</v>
      </c>
      <c r="I92" s="186" t="s">
        <v>1126</v>
      </c>
      <c r="J92" s="188">
        <v>46169</v>
      </c>
      <c r="K92" s="186" t="s">
        <v>1125</v>
      </c>
      <c r="L92" s="186" t="s">
        <v>1126</v>
      </c>
      <c r="M92" s="186" t="s">
        <v>1127</v>
      </c>
      <c r="N92" s="186" t="s">
        <v>1128</v>
      </c>
      <c r="O92" s="188">
        <v>46171</v>
      </c>
      <c r="P92" s="194" t="s">
        <v>1129</v>
      </c>
      <c r="Q92" s="233"/>
      <c r="R92" s="231"/>
      <c r="S92" s="233">
        <f>O92+5</f>
        <v>46176</v>
      </c>
      <c r="T92" s="233">
        <f>O92+7</f>
        <v>46178</v>
      </c>
      <c r="U92" s="234"/>
      <c r="V92" s="233">
        <f>O92+12</f>
        <v>46183</v>
      </c>
      <c r="W92" s="233">
        <f>O92+13</f>
        <v>46184</v>
      </c>
      <c r="X92" s="231"/>
      <c r="Y92" s="231"/>
      <c r="Z92" s="231"/>
      <c r="AA92" s="231"/>
      <c r="AB92" s="231"/>
      <c r="AC92" s="371"/>
      <c r="AD92" s="372"/>
    </row>
    <row r="93" spans="1:30" ht="25.5" hidden="1" customHeight="1">
      <c r="A93" s="502"/>
      <c r="B93" s="249" t="s">
        <v>62</v>
      </c>
      <c r="C93" s="252" t="s">
        <v>1130</v>
      </c>
      <c r="D93" s="253" t="s">
        <v>606</v>
      </c>
      <c r="E93" s="254">
        <v>46154</v>
      </c>
      <c r="F93" s="254">
        <v>46153</v>
      </c>
      <c r="G93" s="259" t="s">
        <v>576</v>
      </c>
      <c r="H93" s="186" t="s">
        <v>1131</v>
      </c>
      <c r="I93" s="186" t="s">
        <v>1132</v>
      </c>
      <c r="J93" s="188">
        <v>46157</v>
      </c>
      <c r="K93" s="186" t="s">
        <v>1131</v>
      </c>
      <c r="L93" s="186" t="s">
        <v>1132</v>
      </c>
      <c r="M93" s="186" t="s">
        <v>1133</v>
      </c>
      <c r="N93" s="186" t="s">
        <v>1134</v>
      </c>
      <c r="O93" s="188">
        <v>46159</v>
      </c>
      <c r="P93" s="261" t="s">
        <v>1135</v>
      </c>
      <c r="Q93" s="263"/>
      <c r="R93" s="264"/>
      <c r="S93" s="265">
        <f>O93+4</f>
        <v>46163</v>
      </c>
      <c r="T93" s="264"/>
      <c r="U93" s="264"/>
      <c r="V93" s="264"/>
      <c r="W93" s="265">
        <f>O93+8</f>
        <v>46167</v>
      </c>
      <c r="X93" s="265">
        <f>O93+9</f>
        <v>46168</v>
      </c>
      <c r="Y93" s="264"/>
      <c r="Z93" s="264"/>
      <c r="AA93" s="264"/>
      <c r="AB93" s="264"/>
      <c r="AC93" s="264"/>
      <c r="AD93" s="267"/>
    </row>
    <row r="94" spans="1:30" ht="25.5" hidden="1" customHeight="1">
      <c r="A94" s="507">
        <v>21</v>
      </c>
      <c r="B94" s="163" t="s">
        <v>518</v>
      </c>
      <c r="C94" s="164" t="s">
        <v>1136</v>
      </c>
      <c r="D94" s="167" t="s">
        <v>1137</v>
      </c>
      <c r="E94" s="288"/>
      <c r="F94" s="289">
        <v>46154</v>
      </c>
      <c r="G94" s="180" t="s">
        <v>576</v>
      </c>
      <c r="H94" s="186"/>
      <c r="I94" s="186"/>
      <c r="J94" s="188"/>
      <c r="K94" s="186" t="s">
        <v>1133</v>
      </c>
      <c r="L94" s="186" t="s">
        <v>1138</v>
      </c>
      <c r="M94" s="186" t="s">
        <v>1105</v>
      </c>
      <c r="N94" s="186" t="s">
        <v>1139</v>
      </c>
      <c r="O94" s="188">
        <v>46162</v>
      </c>
      <c r="P94" s="194" t="s">
        <v>1140</v>
      </c>
      <c r="Q94" s="197">
        <f t="shared" ref="Q94:Q95" si="18">O94+4</f>
        <v>46166</v>
      </c>
      <c r="R94" s="200"/>
      <c r="S94" s="197">
        <f>O94+5</f>
        <v>46167</v>
      </c>
      <c r="T94" s="200"/>
      <c r="U94" s="200"/>
      <c r="V94" s="199">
        <f>O94+13</f>
        <v>46175</v>
      </c>
      <c r="W94" s="200"/>
      <c r="X94" s="202"/>
      <c r="Y94" s="200"/>
      <c r="Z94" s="200"/>
      <c r="AA94" s="200"/>
      <c r="AB94" s="200"/>
      <c r="AC94" s="200"/>
      <c r="AD94" s="205" t="s">
        <v>941</v>
      </c>
    </row>
    <row r="95" spans="1:30" ht="25.5" hidden="1" customHeight="1">
      <c r="A95" s="501"/>
      <c r="B95" s="377" t="s">
        <v>454</v>
      </c>
      <c r="C95" s="378" t="s">
        <v>1141</v>
      </c>
      <c r="D95" s="379" t="s">
        <v>1079</v>
      </c>
      <c r="E95" s="374"/>
      <c r="F95" s="390">
        <v>46163</v>
      </c>
      <c r="G95" s="180" t="s">
        <v>482</v>
      </c>
      <c r="H95" s="336"/>
      <c r="I95" s="336"/>
      <c r="J95" s="337" t="s">
        <v>599</v>
      </c>
      <c r="K95" s="336" t="s">
        <v>1142</v>
      </c>
      <c r="L95" s="336" t="s">
        <v>1143</v>
      </c>
      <c r="M95" s="336" t="s">
        <v>1143</v>
      </c>
      <c r="N95" s="186" t="s">
        <v>1144</v>
      </c>
      <c r="O95" s="188">
        <v>46172</v>
      </c>
      <c r="P95" s="194" t="s">
        <v>1145</v>
      </c>
      <c r="Q95" s="197">
        <f t="shared" si="18"/>
        <v>46176</v>
      </c>
      <c r="R95" s="199">
        <f>O95+5</f>
        <v>46177</v>
      </c>
      <c r="S95" s="200"/>
      <c r="T95" s="200"/>
      <c r="U95" s="200"/>
      <c r="V95" s="200"/>
      <c r="W95" s="200"/>
      <c r="X95" s="202"/>
      <c r="Y95" s="200"/>
      <c r="Z95" s="200"/>
      <c r="AA95" s="200"/>
      <c r="AB95" s="200"/>
      <c r="AC95" s="200"/>
      <c r="AD95" s="205" t="s">
        <v>755</v>
      </c>
    </row>
    <row r="96" spans="1:30" ht="25.5" hidden="1" customHeight="1">
      <c r="A96" s="501"/>
      <c r="B96" s="377" t="s">
        <v>1108</v>
      </c>
      <c r="C96" s="378" t="s">
        <v>1146</v>
      </c>
      <c r="D96" s="379" t="s">
        <v>1147</v>
      </c>
      <c r="E96" s="374"/>
      <c r="F96" s="390">
        <v>46161</v>
      </c>
      <c r="G96" s="180" t="s">
        <v>1111</v>
      </c>
      <c r="H96" s="336"/>
      <c r="I96" s="336"/>
      <c r="J96" s="337"/>
      <c r="K96" s="336" t="s">
        <v>1148</v>
      </c>
      <c r="L96" s="336" t="s">
        <v>1149</v>
      </c>
      <c r="M96" s="336" t="s">
        <v>1150</v>
      </c>
      <c r="N96" s="336" t="s">
        <v>1151</v>
      </c>
      <c r="O96" s="337">
        <v>46165</v>
      </c>
      <c r="P96" s="407"/>
      <c r="Q96" s="389"/>
      <c r="R96" s="200"/>
      <c r="S96" s="200"/>
      <c r="T96" s="200"/>
      <c r="U96" s="200"/>
      <c r="V96" s="200"/>
      <c r="W96" s="200"/>
      <c r="X96" s="202"/>
      <c r="Y96" s="200"/>
      <c r="Z96" s="200"/>
      <c r="AA96" s="199">
        <f>O96+12</f>
        <v>46177</v>
      </c>
      <c r="AB96" s="200"/>
      <c r="AC96" s="200"/>
      <c r="AD96" s="205" t="s">
        <v>1116</v>
      </c>
    </row>
    <row r="97" spans="1:30" ht="25.5" hidden="1" customHeight="1">
      <c r="A97" s="501"/>
      <c r="B97" s="377" t="s">
        <v>204</v>
      </c>
      <c r="C97" s="378" t="s">
        <v>1152</v>
      </c>
      <c r="D97" s="379" t="s">
        <v>520</v>
      </c>
      <c r="E97" s="374">
        <v>46163</v>
      </c>
      <c r="F97" s="390">
        <v>46162</v>
      </c>
      <c r="G97" s="209" t="s">
        <v>521</v>
      </c>
      <c r="H97" s="336" t="s">
        <v>1153</v>
      </c>
      <c r="I97" s="336" t="s">
        <v>1126</v>
      </c>
      <c r="J97" s="337">
        <v>46168</v>
      </c>
      <c r="K97" s="336" t="s">
        <v>1153</v>
      </c>
      <c r="L97" s="336" t="s">
        <v>1126</v>
      </c>
      <c r="M97" s="336" t="s">
        <v>1154</v>
      </c>
      <c r="N97" s="186" t="s">
        <v>1155</v>
      </c>
      <c r="O97" s="188">
        <v>46169</v>
      </c>
      <c r="P97" s="194" t="s">
        <v>1156</v>
      </c>
      <c r="Q97" s="197">
        <f>O97+6</f>
        <v>46175</v>
      </c>
      <c r="R97" s="199">
        <f>O97+5</f>
        <v>46174</v>
      </c>
      <c r="S97" s="199">
        <f>O97+7</f>
        <v>46176</v>
      </c>
      <c r="T97" s="200"/>
      <c r="U97" s="200"/>
      <c r="V97" s="200"/>
      <c r="W97" s="200"/>
      <c r="X97" s="202"/>
      <c r="Y97" s="200"/>
      <c r="Z97" s="200"/>
      <c r="AA97" s="200"/>
      <c r="AB97" s="200"/>
      <c r="AC97" s="234"/>
      <c r="AD97" s="205" t="s">
        <v>542</v>
      </c>
    </row>
    <row r="98" spans="1:30" ht="25.5" hidden="1" customHeight="1">
      <c r="A98" s="501"/>
      <c r="B98" s="408" t="s">
        <v>65</v>
      </c>
      <c r="C98" s="378" t="s">
        <v>1157</v>
      </c>
      <c r="D98" s="409" t="s">
        <v>705</v>
      </c>
      <c r="E98" s="390">
        <v>46175</v>
      </c>
      <c r="F98" s="390">
        <v>46173</v>
      </c>
      <c r="G98" s="329" t="s">
        <v>576</v>
      </c>
      <c r="H98" s="186" t="s">
        <v>1158</v>
      </c>
      <c r="I98" s="336" t="s">
        <v>1159</v>
      </c>
      <c r="J98" s="337">
        <v>46179</v>
      </c>
      <c r="K98" s="410" t="s">
        <v>1158</v>
      </c>
      <c r="L98" s="336" t="s">
        <v>1159</v>
      </c>
      <c r="M98" s="410" t="s">
        <v>1160</v>
      </c>
      <c r="N98" s="336" t="s">
        <v>1161</v>
      </c>
      <c r="O98" s="188">
        <v>46180</v>
      </c>
      <c r="P98" s="194" t="s">
        <v>1162</v>
      </c>
      <c r="Q98" s="197"/>
      <c r="R98" s="231"/>
      <c r="S98" s="233">
        <f>O98+4</f>
        <v>46184</v>
      </c>
      <c r="T98" s="233">
        <f>O98+6</f>
        <v>46186</v>
      </c>
      <c r="U98" s="234"/>
      <c r="V98" s="233">
        <f>O98+11</f>
        <v>46191</v>
      </c>
      <c r="W98" s="233">
        <f>O98+12</f>
        <v>46192</v>
      </c>
      <c r="X98" s="231"/>
      <c r="Y98" s="231"/>
      <c r="Z98" s="231"/>
      <c r="AA98" s="231"/>
      <c r="AB98" s="231"/>
      <c r="AC98" s="231"/>
      <c r="AD98" s="237"/>
    </row>
    <row r="99" spans="1:30" ht="25.5" hidden="1" customHeight="1">
      <c r="A99" s="502"/>
      <c r="B99" s="249" t="s">
        <v>62</v>
      </c>
      <c r="C99" s="252" t="s">
        <v>1163</v>
      </c>
      <c r="D99" s="253" t="s">
        <v>606</v>
      </c>
      <c r="E99" s="254">
        <v>46162</v>
      </c>
      <c r="F99" s="254">
        <v>46161</v>
      </c>
      <c r="G99" s="259" t="s">
        <v>576</v>
      </c>
      <c r="H99" s="186" t="s">
        <v>1164</v>
      </c>
      <c r="I99" s="186" t="s">
        <v>1165</v>
      </c>
      <c r="J99" s="188">
        <v>46168</v>
      </c>
      <c r="K99" s="186" t="s">
        <v>1164</v>
      </c>
      <c r="L99" s="186" t="s">
        <v>1165</v>
      </c>
      <c r="M99" s="186" t="s">
        <v>1126</v>
      </c>
      <c r="N99" s="186" t="s">
        <v>1166</v>
      </c>
      <c r="O99" s="188">
        <v>46169</v>
      </c>
      <c r="P99" s="261" t="s">
        <v>1167</v>
      </c>
      <c r="Q99" s="263"/>
      <c r="R99" s="264"/>
      <c r="S99" s="265">
        <f t="shared" ref="S99:S100" si="19">O99+5</f>
        <v>46174</v>
      </c>
      <c r="T99" s="264"/>
      <c r="U99" s="264"/>
      <c r="V99" s="264"/>
      <c r="W99" s="265">
        <f>O99+9</f>
        <v>46178</v>
      </c>
      <c r="X99" s="265">
        <f>O99+10</f>
        <v>46179</v>
      </c>
      <c r="Y99" s="264"/>
      <c r="Z99" s="264"/>
      <c r="AA99" s="264"/>
      <c r="AB99" s="264"/>
      <c r="AC99" s="264"/>
      <c r="AD99" s="267"/>
    </row>
    <row r="100" spans="1:30" ht="25.5" hidden="1" customHeight="1">
      <c r="A100" s="507">
        <v>22</v>
      </c>
      <c r="B100" s="377" t="s">
        <v>518</v>
      </c>
      <c r="C100" s="378" t="s">
        <v>1168</v>
      </c>
      <c r="D100" s="379" t="s">
        <v>1169</v>
      </c>
      <c r="E100" s="374"/>
      <c r="F100" s="390">
        <v>46166</v>
      </c>
      <c r="G100" s="391" t="s">
        <v>664</v>
      </c>
      <c r="H100" s="336"/>
      <c r="I100" s="336"/>
      <c r="J100" s="337"/>
      <c r="K100" s="336" t="s">
        <v>1127</v>
      </c>
      <c r="L100" s="336" t="s">
        <v>1143</v>
      </c>
      <c r="M100" s="336" t="s">
        <v>1143</v>
      </c>
      <c r="N100" s="411" t="s">
        <v>1170</v>
      </c>
      <c r="O100" s="412">
        <v>46173</v>
      </c>
      <c r="P100" s="413" t="s">
        <v>1171</v>
      </c>
      <c r="Q100" s="197">
        <f t="shared" ref="Q100:Q101" si="20">O100+4</f>
        <v>46177</v>
      </c>
      <c r="R100" s="200"/>
      <c r="S100" s="197">
        <f t="shared" si="19"/>
        <v>46178</v>
      </c>
      <c r="T100" s="200"/>
      <c r="U100" s="200"/>
      <c r="V100" s="199">
        <f>O100+13</f>
        <v>46186</v>
      </c>
      <c r="W100" s="200"/>
      <c r="X100" s="202"/>
      <c r="Y100" s="200"/>
      <c r="Z100" s="200"/>
      <c r="AA100" s="200"/>
      <c r="AB100" s="200"/>
      <c r="AC100" s="200"/>
      <c r="AD100" s="205" t="s">
        <v>941</v>
      </c>
    </row>
    <row r="101" spans="1:30" ht="25.5" hidden="1" customHeight="1">
      <c r="A101" s="501"/>
      <c r="B101" s="377" t="s">
        <v>454</v>
      </c>
      <c r="C101" s="378" t="s">
        <v>1172</v>
      </c>
      <c r="D101" s="379" t="s">
        <v>478</v>
      </c>
      <c r="E101" s="390">
        <v>46168</v>
      </c>
      <c r="F101" s="390">
        <v>46166</v>
      </c>
      <c r="G101" s="391" t="s">
        <v>482</v>
      </c>
      <c r="H101" s="336" t="s">
        <v>1173</v>
      </c>
      <c r="I101" s="336" t="s">
        <v>1173</v>
      </c>
      <c r="J101" s="337">
        <v>46174</v>
      </c>
      <c r="K101" s="336" t="s">
        <v>1173</v>
      </c>
      <c r="L101" s="336" t="s">
        <v>1173</v>
      </c>
      <c r="M101" s="336" t="s">
        <v>1174</v>
      </c>
      <c r="N101" s="411" t="s">
        <v>1175</v>
      </c>
      <c r="O101" s="412">
        <v>46175</v>
      </c>
      <c r="P101" s="413" t="s">
        <v>1176</v>
      </c>
      <c r="Q101" s="197">
        <f t="shared" si="20"/>
        <v>46179</v>
      </c>
      <c r="R101" s="199">
        <f>O101+5</f>
        <v>46180</v>
      </c>
      <c r="S101" s="200"/>
      <c r="T101" s="200"/>
      <c r="U101" s="200"/>
      <c r="V101" s="200"/>
      <c r="W101" s="200"/>
      <c r="X101" s="202"/>
      <c r="Y101" s="200"/>
      <c r="Z101" s="200"/>
      <c r="AA101" s="200"/>
      <c r="AB101" s="200"/>
      <c r="AC101" s="200"/>
      <c r="AD101" s="205" t="s">
        <v>755</v>
      </c>
    </row>
    <row r="102" spans="1:30" ht="25.5" hidden="1" customHeight="1">
      <c r="A102" s="501"/>
      <c r="B102" s="377" t="s">
        <v>1108</v>
      </c>
      <c r="C102" s="378" t="s">
        <v>1177</v>
      </c>
      <c r="D102" s="379" t="s">
        <v>1110</v>
      </c>
      <c r="E102" s="374"/>
      <c r="F102" s="390"/>
      <c r="G102" s="391" t="s">
        <v>1111</v>
      </c>
      <c r="H102" s="336"/>
      <c r="I102" s="336"/>
      <c r="J102" s="337"/>
      <c r="K102" s="336" t="s">
        <v>1127</v>
      </c>
      <c r="L102" s="336" t="s">
        <v>1178</v>
      </c>
      <c r="M102" s="336" t="s">
        <v>1179</v>
      </c>
      <c r="N102" s="411" t="s">
        <v>1180</v>
      </c>
      <c r="O102" s="412">
        <v>46172</v>
      </c>
      <c r="P102" s="414"/>
      <c r="Q102" s="389"/>
      <c r="R102" s="200"/>
      <c r="S102" s="200"/>
      <c r="T102" s="200"/>
      <c r="U102" s="200"/>
      <c r="V102" s="200"/>
      <c r="W102" s="200"/>
      <c r="X102" s="202"/>
      <c r="Y102" s="200"/>
      <c r="Z102" s="200"/>
      <c r="AA102" s="199">
        <f>O102+12</f>
        <v>46184</v>
      </c>
      <c r="AB102" s="200"/>
      <c r="AC102" s="200"/>
      <c r="AD102" s="205" t="s">
        <v>1116</v>
      </c>
    </row>
    <row r="103" spans="1:30" ht="25.5" hidden="1" customHeight="1">
      <c r="A103" s="501"/>
      <c r="B103" s="408" t="s">
        <v>65</v>
      </c>
      <c r="C103" s="378" t="s">
        <v>1181</v>
      </c>
      <c r="D103" s="409" t="s">
        <v>1182</v>
      </c>
      <c r="E103" s="375">
        <v>46180</v>
      </c>
      <c r="F103" s="375">
        <v>46179</v>
      </c>
      <c r="G103" s="180" t="s">
        <v>482</v>
      </c>
      <c r="H103" s="336" t="s">
        <v>1183</v>
      </c>
      <c r="I103" s="336" t="s">
        <v>1184</v>
      </c>
      <c r="J103" s="337">
        <v>46185</v>
      </c>
      <c r="K103" s="336" t="s">
        <v>1183</v>
      </c>
      <c r="L103" s="336" t="s">
        <v>1184</v>
      </c>
      <c r="M103" s="336" t="s">
        <v>1185</v>
      </c>
      <c r="N103" s="336" t="s">
        <v>1186</v>
      </c>
      <c r="O103" s="337">
        <v>46186</v>
      </c>
      <c r="P103" s="194" t="s">
        <v>1187</v>
      </c>
      <c r="Q103" s="197"/>
      <c r="R103" s="231"/>
      <c r="S103" s="233">
        <f>O103+5</f>
        <v>46191</v>
      </c>
      <c r="T103" s="233">
        <f>O103+7</f>
        <v>46193</v>
      </c>
      <c r="U103" s="234"/>
      <c r="V103" s="233">
        <f>O103+12</f>
        <v>46198</v>
      </c>
      <c r="W103" s="233">
        <f>O103+13</f>
        <v>46199</v>
      </c>
      <c r="X103" s="231"/>
      <c r="Y103" s="231"/>
      <c r="Z103" s="231"/>
      <c r="AA103" s="231"/>
      <c r="AB103" s="383"/>
      <c r="AC103" s="383"/>
      <c r="AD103" s="372"/>
    </row>
    <row r="104" spans="1:30" ht="25.5" hidden="1" customHeight="1">
      <c r="A104" s="501"/>
      <c r="B104" s="377" t="s">
        <v>204</v>
      </c>
      <c r="C104" s="378" t="s">
        <v>1188</v>
      </c>
      <c r="D104" s="379" t="s">
        <v>520</v>
      </c>
      <c r="E104" s="390">
        <v>46168</v>
      </c>
      <c r="F104" s="390">
        <v>46167</v>
      </c>
      <c r="G104" s="415" t="s">
        <v>521</v>
      </c>
      <c r="H104" s="336" t="s">
        <v>1189</v>
      </c>
      <c r="I104" s="336" t="s">
        <v>1190</v>
      </c>
      <c r="J104" s="337">
        <v>46173</v>
      </c>
      <c r="K104" s="336" t="s">
        <v>1189</v>
      </c>
      <c r="L104" s="336" t="s">
        <v>1190</v>
      </c>
      <c r="M104" s="336" t="s">
        <v>1191</v>
      </c>
      <c r="N104" s="411" t="s">
        <v>1192</v>
      </c>
      <c r="O104" s="412">
        <v>46174</v>
      </c>
      <c r="P104" s="413" t="s">
        <v>1193</v>
      </c>
      <c r="Q104" s="197">
        <f>O104+6</f>
        <v>46180</v>
      </c>
      <c r="R104" s="199">
        <f>O104+5</f>
        <v>46179</v>
      </c>
      <c r="S104" s="200"/>
      <c r="T104" s="200"/>
      <c r="U104" s="200"/>
      <c r="V104" s="200"/>
      <c r="W104" s="200"/>
      <c r="X104" s="202"/>
      <c r="Y104" s="200"/>
      <c r="Z104" s="200"/>
      <c r="AA104" s="200"/>
      <c r="AB104" s="200"/>
      <c r="AC104" s="200"/>
      <c r="AD104" s="205"/>
    </row>
    <row r="105" spans="1:30" ht="25.5" hidden="1" customHeight="1">
      <c r="A105" s="502"/>
      <c r="B105" s="332" t="s">
        <v>62</v>
      </c>
      <c r="C105" s="333" t="s">
        <v>1194</v>
      </c>
      <c r="D105" s="334" t="s">
        <v>606</v>
      </c>
      <c r="E105" s="335">
        <v>46167</v>
      </c>
      <c r="F105" s="335">
        <v>46165</v>
      </c>
      <c r="G105" s="376" t="s">
        <v>576</v>
      </c>
      <c r="H105" s="336" t="s">
        <v>1195</v>
      </c>
      <c r="I105" s="336" t="s">
        <v>1178</v>
      </c>
      <c r="J105" s="337">
        <v>46171</v>
      </c>
      <c r="K105" s="336" t="s">
        <v>1195</v>
      </c>
      <c r="L105" s="336" t="s">
        <v>1178</v>
      </c>
      <c r="M105" s="336" t="s">
        <v>1196</v>
      </c>
      <c r="N105" s="411" t="s">
        <v>1197</v>
      </c>
      <c r="O105" s="412">
        <v>46172</v>
      </c>
      <c r="P105" s="416" t="s">
        <v>1198</v>
      </c>
      <c r="Q105" s="265"/>
      <c r="R105" s="264"/>
      <c r="S105" s="265">
        <f>O105+5</f>
        <v>46177</v>
      </c>
      <c r="T105" s="264"/>
      <c r="U105" s="264"/>
      <c r="V105" s="264"/>
      <c r="W105" s="265">
        <f>O105+8</f>
        <v>46180</v>
      </c>
      <c r="X105" s="265">
        <f>O105+9</f>
        <v>46181</v>
      </c>
      <c r="Y105" s="264"/>
      <c r="Z105" s="264"/>
      <c r="AA105" s="264"/>
      <c r="AB105" s="264"/>
      <c r="AC105" s="264"/>
      <c r="AD105" s="267"/>
    </row>
    <row r="106" spans="1:30" ht="25.5" hidden="1" customHeight="1">
      <c r="A106" s="507">
        <v>23</v>
      </c>
      <c r="B106" s="163" t="s">
        <v>535</v>
      </c>
      <c r="C106" s="164" t="s">
        <v>1199</v>
      </c>
      <c r="D106" s="167" t="s">
        <v>1094</v>
      </c>
      <c r="E106" s="288"/>
      <c r="F106" s="289">
        <v>46168</v>
      </c>
      <c r="G106" s="180" t="s">
        <v>1041</v>
      </c>
      <c r="H106" s="186"/>
      <c r="I106" s="186"/>
      <c r="J106" s="188"/>
      <c r="K106" s="186" t="s">
        <v>1200</v>
      </c>
      <c r="L106" s="186" t="s">
        <v>1201</v>
      </c>
      <c r="M106" s="186" t="s">
        <v>1202</v>
      </c>
      <c r="N106" s="417" t="s">
        <v>1203</v>
      </c>
      <c r="O106" s="418">
        <v>46175</v>
      </c>
      <c r="P106" s="419" t="s">
        <v>1204</v>
      </c>
      <c r="Q106" s="389"/>
      <c r="R106" s="200"/>
      <c r="S106" s="200"/>
      <c r="T106" s="200"/>
      <c r="U106" s="200"/>
      <c r="V106" s="200"/>
      <c r="W106" s="200"/>
      <c r="X106" s="202"/>
      <c r="Y106" s="199">
        <f>O106+4</f>
        <v>46179</v>
      </c>
      <c r="Z106" s="199">
        <f>O106+6</f>
        <v>46181</v>
      </c>
      <c r="AA106" s="199">
        <f>O106+14</f>
        <v>46189</v>
      </c>
      <c r="AB106" s="199">
        <f>O106+16</f>
        <v>46191</v>
      </c>
      <c r="AC106" s="199">
        <f>O106+18</f>
        <v>46193</v>
      </c>
      <c r="AD106" s="205" t="s">
        <v>1046</v>
      </c>
    </row>
    <row r="107" spans="1:30" ht="25.5" hidden="1" customHeight="1">
      <c r="A107" s="501"/>
      <c r="B107" s="420" t="s">
        <v>1108</v>
      </c>
      <c r="C107" s="421" t="s">
        <v>1205</v>
      </c>
      <c r="D107" s="422" t="s">
        <v>1147</v>
      </c>
      <c r="E107" s="423"/>
      <c r="F107" s="424"/>
      <c r="G107" s="425" t="s">
        <v>1111</v>
      </c>
      <c r="H107" s="426"/>
      <c r="I107" s="426"/>
      <c r="J107" s="427"/>
      <c r="K107" s="426" t="s">
        <v>1206</v>
      </c>
      <c r="L107" s="426" t="s">
        <v>1158</v>
      </c>
      <c r="M107" s="426" t="s">
        <v>1207</v>
      </c>
      <c r="N107" s="428" t="s">
        <v>1208</v>
      </c>
      <c r="O107" s="429">
        <v>46179</v>
      </c>
      <c r="P107" s="430"/>
      <c r="Q107" s="389"/>
      <c r="R107" s="200"/>
      <c r="S107" s="200"/>
      <c r="T107" s="200"/>
      <c r="U107" s="200"/>
      <c r="V107" s="200"/>
      <c r="W107" s="200"/>
      <c r="X107" s="202"/>
      <c r="Y107" s="200"/>
      <c r="Z107" s="200"/>
      <c r="AA107" s="199">
        <f>O107+12</f>
        <v>46191</v>
      </c>
      <c r="AB107" s="200"/>
      <c r="AC107" s="200"/>
      <c r="AD107" s="205" t="s">
        <v>1116</v>
      </c>
    </row>
    <row r="108" spans="1:30" ht="25.5" hidden="1" customHeight="1">
      <c r="A108" s="501"/>
      <c r="B108" s="163" t="s">
        <v>454</v>
      </c>
      <c r="C108" s="164" t="s">
        <v>1209</v>
      </c>
      <c r="D108" s="167" t="s">
        <v>478</v>
      </c>
      <c r="E108" s="288">
        <v>46181</v>
      </c>
      <c r="F108" s="289">
        <v>46180</v>
      </c>
      <c r="G108" s="180" t="s">
        <v>482</v>
      </c>
      <c r="H108" s="186" t="s">
        <v>1210</v>
      </c>
      <c r="I108" s="186" t="s">
        <v>1211</v>
      </c>
      <c r="J108" s="188">
        <v>46187</v>
      </c>
      <c r="K108" s="186" t="s">
        <v>1210</v>
      </c>
      <c r="L108" s="186" t="s">
        <v>1211</v>
      </c>
      <c r="M108" s="186" t="s">
        <v>1212</v>
      </c>
      <c r="N108" s="186" t="s">
        <v>1213</v>
      </c>
      <c r="O108" s="188">
        <v>46188</v>
      </c>
      <c r="P108" s="194" t="s">
        <v>1214</v>
      </c>
      <c r="Q108" s="197">
        <f t="shared" ref="Q108:Q109" si="21">O108+4</f>
        <v>46192</v>
      </c>
      <c r="R108" s="199">
        <f t="shared" ref="R108:R109" si="22">O108+5</f>
        <v>46193</v>
      </c>
      <c r="S108" s="200"/>
      <c r="T108" s="200"/>
      <c r="U108" s="200"/>
      <c r="V108" s="200"/>
      <c r="W108" s="200"/>
      <c r="X108" s="202"/>
      <c r="Y108" s="200"/>
      <c r="Z108" s="200"/>
      <c r="AA108" s="200"/>
      <c r="AB108" s="200"/>
      <c r="AC108" s="200"/>
      <c r="AD108" s="205" t="s">
        <v>755</v>
      </c>
    </row>
    <row r="109" spans="1:30" ht="25.5" hidden="1" customHeight="1">
      <c r="A109" s="501"/>
      <c r="B109" s="163" t="s">
        <v>204</v>
      </c>
      <c r="C109" s="164" t="s">
        <v>1215</v>
      </c>
      <c r="D109" s="167" t="s">
        <v>520</v>
      </c>
      <c r="E109" s="288">
        <v>46179</v>
      </c>
      <c r="F109" s="289">
        <v>46178</v>
      </c>
      <c r="G109" s="209" t="s">
        <v>521</v>
      </c>
      <c r="H109" s="186" t="s">
        <v>1216</v>
      </c>
      <c r="I109" s="186" t="s">
        <v>1217</v>
      </c>
      <c r="J109" s="188">
        <v>46183</v>
      </c>
      <c r="K109" s="186" t="s">
        <v>1216</v>
      </c>
      <c r="L109" s="186" t="s">
        <v>1217</v>
      </c>
      <c r="M109" s="186" t="s">
        <v>1218</v>
      </c>
      <c r="N109" s="417" t="s">
        <v>1219</v>
      </c>
      <c r="O109" s="418">
        <v>46184</v>
      </c>
      <c r="P109" s="419" t="s">
        <v>1220</v>
      </c>
      <c r="Q109" s="197">
        <f t="shared" si="21"/>
        <v>46188</v>
      </c>
      <c r="R109" s="199">
        <f t="shared" si="22"/>
        <v>46189</v>
      </c>
      <c r="S109" s="388" t="s">
        <v>599</v>
      </c>
      <c r="T109" s="200"/>
      <c r="U109" s="200"/>
      <c r="V109" s="200"/>
      <c r="W109" s="200"/>
      <c r="X109" s="202"/>
      <c r="Y109" s="200"/>
      <c r="Z109" s="200"/>
      <c r="AA109" s="200"/>
      <c r="AB109" s="200"/>
      <c r="AC109" s="234"/>
      <c r="AD109" s="205" t="s">
        <v>542</v>
      </c>
    </row>
    <row r="110" spans="1:30" ht="25.5" hidden="1" customHeight="1">
      <c r="A110" s="502"/>
      <c r="B110" s="332" t="s">
        <v>62</v>
      </c>
      <c r="C110" s="333" t="s">
        <v>1221</v>
      </c>
      <c r="D110" s="334" t="s">
        <v>606</v>
      </c>
      <c r="E110" s="335">
        <v>46180</v>
      </c>
      <c r="F110" s="335">
        <v>46179</v>
      </c>
      <c r="G110" s="259" t="s">
        <v>576</v>
      </c>
      <c r="H110" s="336" t="s">
        <v>1222</v>
      </c>
      <c r="I110" s="336" t="s">
        <v>1223</v>
      </c>
      <c r="J110" s="337">
        <v>46186</v>
      </c>
      <c r="K110" s="336" t="s">
        <v>1222</v>
      </c>
      <c r="L110" s="336" t="s">
        <v>1223</v>
      </c>
      <c r="M110" s="336" t="s">
        <v>1224</v>
      </c>
      <c r="N110" s="186" t="s">
        <v>1225</v>
      </c>
      <c r="O110" s="188">
        <v>46188</v>
      </c>
      <c r="P110" s="261" t="s">
        <v>1226</v>
      </c>
      <c r="Q110" s="265"/>
      <c r="R110" s="264"/>
      <c r="S110" s="265">
        <f>O110+5</f>
        <v>46193</v>
      </c>
      <c r="T110" s="264"/>
      <c r="U110" s="264"/>
      <c r="V110" s="264"/>
      <c r="W110" s="265">
        <f>O110+8</f>
        <v>46196</v>
      </c>
      <c r="X110" s="265">
        <f>O110+9</f>
        <v>46197</v>
      </c>
      <c r="Y110" s="264"/>
      <c r="Z110" s="264"/>
      <c r="AA110" s="264"/>
      <c r="AB110" s="264"/>
      <c r="AC110" s="264"/>
      <c r="AD110" s="267"/>
    </row>
    <row r="111" spans="1:30" ht="25.5" hidden="1" customHeight="1">
      <c r="A111" s="507">
        <v>24</v>
      </c>
      <c r="B111" s="163" t="s">
        <v>518</v>
      </c>
      <c r="C111" s="164" t="s">
        <v>1227</v>
      </c>
      <c r="D111" s="167" t="s">
        <v>1169</v>
      </c>
      <c r="E111" s="288"/>
      <c r="F111" s="289">
        <v>46175</v>
      </c>
      <c r="G111" s="180" t="s">
        <v>664</v>
      </c>
      <c r="H111" s="186"/>
      <c r="I111" s="186"/>
      <c r="J111" s="188"/>
      <c r="K111" s="186" t="s">
        <v>1159</v>
      </c>
      <c r="L111" s="186" t="s">
        <v>1228</v>
      </c>
      <c r="M111" s="186" t="s">
        <v>1229</v>
      </c>
      <c r="N111" s="186" t="s">
        <v>1230</v>
      </c>
      <c r="O111" s="188">
        <v>46182</v>
      </c>
      <c r="P111" s="194" t="s">
        <v>1231</v>
      </c>
      <c r="Q111" s="197">
        <f>O111+5</f>
        <v>46187</v>
      </c>
      <c r="R111" s="200"/>
      <c r="S111" s="197">
        <f>O111+4</f>
        <v>46186</v>
      </c>
      <c r="T111" s="200"/>
      <c r="U111" s="200"/>
      <c r="V111" s="199">
        <f>O111+13</f>
        <v>46195</v>
      </c>
      <c r="W111" s="200"/>
      <c r="X111" s="202"/>
      <c r="Y111" s="200"/>
      <c r="Z111" s="200"/>
      <c r="AA111" s="200"/>
      <c r="AB111" s="200"/>
      <c r="AC111" s="200"/>
      <c r="AD111" s="205" t="s">
        <v>941</v>
      </c>
    </row>
    <row r="112" spans="1:30" ht="25.5" hidden="1" customHeight="1">
      <c r="A112" s="501"/>
      <c r="B112" s="377" t="s">
        <v>535</v>
      </c>
      <c r="C112" s="378" t="s">
        <v>1232</v>
      </c>
      <c r="D112" s="379" t="s">
        <v>1094</v>
      </c>
      <c r="E112" s="374"/>
      <c r="F112" s="390">
        <v>46174</v>
      </c>
      <c r="G112" s="180" t="s">
        <v>1041</v>
      </c>
      <c r="H112" s="336"/>
      <c r="I112" s="336"/>
      <c r="J112" s="337"/>
      <c r="K112" s="336" t="s">
        <v>1158</v>
      </c>
      <c r="L112" s="336" t="s">
        <v>1233</v>
      </c>
      <c r="M112" s="336" t="s">
        <v>1234</v>
      </c>
      <c r="N112" s="336" t="s">
        <v>1235</v>
      </c>
      <c r="O112" s="337">
        <v>46179</v>
      </c>
      <c r="P112" s="407"/>
      <c r="Q112" s="389"/>
      <c r="R112" s="200"/>
      <c r="S112" s="200"/>
      <c r="T112" s="200"/>
      <c r="U112" s="200"/>
      <c r="V112" s="200"/>
      <c r="W112" s="200"/>
      <c r="X112" s="202"/>
      <c r="Y112" s="199">
        <f>O112+4</f>
        <v>46183</v>
      </c>
      <c r="Z112" s="199">
        <f>O112+6</f>
        <v>46185</v>
      </c>
      <c r="AA112" s="199">
        <f>O112+14</f>
        <v>46193</v>
      </c>
      <c r="AB112" s="199">
        <f>O112+16</f>
        <v>46195</v>
      </c>
      <c r="AC112" s="199">
        <f>O112+18</f>
        <v>46197</v>
      </c>
      <c r="AD112" s="205" t="s">
        <v>1046</v>
      </c>
    </row>
    <row r="113" spans="1:30" ht="25.5" hidden="1" customHeight="1">
      <c r="A113" s="501"/>
      <c r="B113" s="163" t="s">
        <v>1108</v>
      </c>
      <c r="C113" s="164" t="s">
        <v>1236</v>
      </c>
      <c r="D113" s="167" t="s">
        <v>1147</v>
      </c>
      <c r="E113" s="288"/>
      <c r="F113" s="289"/>
      <c r="G113" s="180" t="s">
        <v>1111</v>
      </c>
      <c r="H113" s="186"/>
      <c r="I113" s="186"/>
      <c r="J113" s="188"/>
      <c r="K113" s="186" t="s">
        <v>1183</v>
      </c>
      <c r="L113" s="186" t="s">
        <v>1222</v>
      </c>
      <c r="M113" s="186" t="s">
        <v>1185</v>
      </c>
      <c r="N113" s="186" t="s">
        <v>1237</v>
      </c>
      <c r="O113" s="188">
        <v>46186</v>
      </c>
      <c r="P113" s="350"/>
      <c r="Q113" s="389"/>
      <c r="R113" s="200"/>
      <c r="S113" s="200"/>
      <c r="T113" s="200"/>
      <c r="U113" s="200"/>
      <c r="V113" s="200"/>
      <c r="W113" s="200"/>
      <c r="X113" s="202"/>
      <c r="Y113" s="200"/>
      <c r="Z113" s="200"/>
      <c r="AA113" s="199">
        <f>O113+12</f>
        <v>46198</v>
      </c>
      <c r="AB113" s="200"/>
      <c r="AC113" s="200"/>
      <c r="AD113" s="205" t="s">
        <v>1116</v>
      </c>
    </row>
    <row r="114" spans="1:30" ht="25.5" hidden="1" customHeight="1">
      <c r="A114" s="501"/>
      <c r="B114" s="163" t="s">
        <v>65</v>
      </c>
      <c r="C114" s="164" t="s">
        <v>1238</v>
      </c>
      <c r="D114" s="167" t="s">
        <v>1239</v>
      </c>
      <c r="E114" s="288">
        <v>46189</v>
      </c>
      <c r="F114" s="289">
        <v>46188</v>
      </c>
      <c r="G114" s="180" t="s">
        <v>664</v>
      </c>
      <c r="H114" s="186" t="s">
        <v>1240</v>
      </c>
      <c r="I114" s="186" t="s">
        <v>1241</v>
      </c>
      <c r="J114" s="188">
        <v>46194</v>
      </c>
      <c r="K114" s="186" t="s">
        <v>1240</v>
      </c>
      <c r="L114" s="186" t="s">
        <v>1241</v>
      </c>
      <c r="M114" s="186" t="s">
        <v>1242</v>
      </c>
      <c r="N114" s="186" t="s">
        <v>1243</v>
      </c>
      <c r="O114" s="188">
        <v>46195</v>
      </c>
      <c r="P114" s="261" t="s">
        <v>1244</v>
      </c>
      <c r="Q114" s="233"/>
      <c r="R114" s="231"/>
      <c r="S114" s="233">
        <f>O114+5</f>
        <v>46200</v>
      </c>
      <c r="T114" s="233">
        <f>O114+7</f>
        <v>46202</v>
      </c>
      <c r="U114" s="234"/>
      <c r="V114" s="233">
        <f>O114+12</f>
        <v>46207</v>
      </c>
      <c r="W114" s="388" t="s">
        <v>599</v>
      </c>
      <c r="X114" s="231"/>
      <c r="Y114" s="231"/>
      <c r="Z114" s="231"/>
      <c r="AA114" s="231"/>
      <c r="AB114" s="231"/>
      <c r="AC114" s="234"/>
      <c r="AD114" s="372"/>
    </row>
    <row r="115" spans="1:30" ht="25.5" hidden="1" customHeight="1">
      <c r="A115" s="501"/>
      <c r="B115" s="163" t="s">
        <v>454</v>
      </c>
      <c r="C115" s="164" t="s">
        <v>1245</v>
      </c>
      <c r="D115" s="167" t="s">
        <v>478</v>
      </c>
      <c r="E115" s="288">
        <v>46185</v>
      </c>
      <c r="F115" s="289">
        <v>46184</v>
      </c>
      <c r="G115" s="180" t="s">
        <v>482</v>
      </c>
      <c r="H115" s="186" t="s">
        <v>1246</v>
      </c>
      <c r="I115" s="186" t="s">
        <v>1247</v>
      </c>
      <c r="J115" s="188">
        <v>46190</v>
      </c>
      <c r="K115" s="186" t="s">
        <v>1246</v>
      </c>
      <c r="L115" s="186" t="s">
        <v>1247</v>
      </c>
      <c r="M115" s="186" t="s">
        <v>1248</v>
      </c>
      <c r="N115" s="186" t="s">
        <v>1249</v>
      </c>
      <c r="O115" s="188">
        <v>46191</v>
      </c>
      <c r="P115" s="431" t="s">
        <v>1250</v>
      </c>
      <c r="Q115" s="197">
        <f>O115+4</f>
        <v>46195</v>
      </c>
      <c r="R115" s="199">
        <f t="shared" ref="R115:R116" si="23">O115+5</f>
        <v>46196</v>
      </c>
      <c r="S115" s="200"/>
      <c r="T115" s="200"/>
      <c r="U115" s="200"/>
      <c r="V115" s="200"/>
      <c r="W115" s="200"/>
      <c r="X115" s="202"/>
      <c r="Y115" s="200"/>
      <c r="Z115" s="200"/>
      <c r="AA115" s="200"/>
      <c r="AB115" s="200"/>
      <c r="AC115" s="234"/>
      <c r="AD115" s="205" t="s">
        <v>755</v>
      </c>
    </row>
    <row r="116" spans="1:30" ht="25.5" hidden="1" customHeight="1">
      <c r="A116" s="501"/>
      <c r="B116" s="163" t="s">
        <v>204</v>
      </c>
      <c r="C116" s="164" t="s">
        <v>1251</v>
      </c>
      <c r="D116" s="167" t="s">
        <v>520</v>
      </c>
      <c r="E116" s="288">
        <v>46182</v>
      </c>
      <c r="F116" s="289">
        <v>46181</v>
      </c>
      <c r="G116" s="209" t="s">
        <v>521</v>
      </c>
      <c r="H116" s="186" t="s">
        <v>1210</v>
      </c>
      <c r="I116" s="186" t="s">
        <v>1211</v>
      </c>
      <c r="J116" s="188">
        <v>46187</v>
      </c>
      <c r="K116" s="186" t="s">
        <v>1210</v>
      </c>
      <c r="L116" s="186" t="s">
        <v>1211</v>
      </c>
      <c r="M116" s="186" t="s">
        <v>1224</v>
      </c>
      <c r="N116" s="186" t="s">
        <v>1252</v>
      </c>
      <c r="O116" s="188">
        <v>46188</v>
      </c>
      <c r="P116" s="194" t="s">
        <v>1253</v>
      </c>
      <c r="Q116" s="197">
        <f>O116+6</f>
        <v>46194</v>
      </c>
      <c r="R116" s="199">
        <f t="shared" si="23"/>
        <v>46193</v>
      </c>
      <c r="S116" s="200"/>
      <c r="T116" s="200"/>
      <c r="U116" s="200"/>
      <c r="V116" s="200"/>
      <c r="W116" s="200"/>
      <c r="X116" s="202"/>
      <c r="Y116" s="200"/>
      <c r="Z116" s="200"/>
      <c r="AA116" s="200"/>
      <c r="AB116" s="200"/>
      <c r="AC116" s="234"/>
      <c r="AD116" s="205"/>
    </row>
    <row r="117" spans="1:30" ht="25.5" hidden="1" customHeight="1">
      <c r="A117" s="502"/>
      <c r="B117" s="332" t="s">
        <v>62</v>
      </c>
      <c r="C117" s="333" t="s">
        <v>1254</v>
      </c>
      <c r="D117" s="334" t="s">
        <v>606</v>
      </c>
      <c r="E117" s="335">
        <v>46186</v>
      </c>
      <c r="F117" s="335">
        <v>46185</v>
      </c>
      <c r="G117" s="259" t="s">
        <v>576</v>
      </c>
      <c r="H117" s="336" t="s">
        <v>1255</v>
      </c>
      <c r="I117" s="336" t="s">
        <v>1256</v>
      </c>
      <c r="J117" s="337">
        <v>46190</v>
      </c>
      <c r="K117" s="336" t="s">
        <v>1255</v>
      </c>
      <c r="L117" s="336" t="s">
        <v>1256</v>
      </c>
      <c r="M117" s="336" t="s">
        <v>1257</v>
      </c>
      <c r="N117" s="186" t="s">
        <v>1258</v>
      </c>
      <c r="O117" s="188">
        <v>46191</v>
      </c>
      <c r="P117" s="431" t="s">
        <v>1259</v>
      </c>
      <c r="Q117" s="263"/>
      <c r="R117" s="264"/>
      <c r="S117" s="265">
        <f>O117+5</f>
        <v>46196</v>
      </c>
      <c r="T117" s="264"/>
      <c r="U117" s="264"/>
      <c r="V117" s="264"/>
      <c r="W117" s="265">
        <f>O117+9</f>
        <v>46200</v>
      </c>
      <c r="X117" s="265">
        <f>O117+10</f>
        <v>46201</v>
      </c>
      <c r="Y117" s="264"/>
      <c r="Z117" s="264"/>
      <c r="AA117" s="264"/>
      <c r="AB117" s="264"/>
      <c r="AC117" s="264"/>
      <c r="AD117" s="267"/>
    </row>
    <row r="118" spans="1:30" ht="25.5" hidden="1" customHeight="1">
      <c r="A118" s="507">
        <v>25</v>
      </c>
      <c r="B118" s="163" t="s">
        <v>518</v>
      </c>
      <c r="C118" s="164" t="s">
        <v>1260</v>
      </c>
      <c r="D118" s="167" t="s">
        <v>1261</v>
      </c>
      <c r="E118" s="288"/>
      <c r="F118" s="289">
        <v>46184</v>
      </c>
      <c r="G118" s="180" t="s">
        <v>576</v>
      </c>
      <c r="H118" s="186"/>
      <c r="I118" s="186"/>
      <c r="J118" s="188"/>
      <c r="K118" s="186" t="s">
        <v>1255</v>
      </c>
      <c r="L118" s="186" t="s">
        <v>1262</v>
      </c>
      <c r="M118" s="186" t="s">
        <v>1262</v>
      </c>
      <c r="N118" s="186" t="s">
        <v>1263</v>
      </c>
      <c r="O118" s="188">
        <v>46191</v>
      </c>
      <c r="P118" s="194" t="s">
        <v>1264</v>
      </c>
      <c r="Q118" s="197">
        <f>O118+5</f>
        <v>46196</v>
      </c>
      <c r="R118" s="200"/>
      <c r="S118" s="197">
        <f>O118+4</f>
        <v>46195</v>
      </c>
      <c r="T118" s="200"/>
      <c r="U118" s="200"/>
      <c r="V118" s="199">
        <f>O118+13</f>
        <v>46204</v>
      </c>
      <c r="W118" s="200"/>
      <c r="X118" s="202"/>
      <c r="Y118" s="200"/>
      <c r="Z118" s="200"/>
      <c r="AA118" s="200"/>
      <c r="AB118" s="200"/>
      <c r="AC118" s="200"/>
      <c r="AD118" s="205" t="s">
        <v>941</v>
      </c>
    </row>
    <row r="119" spans="1:30" ht="25.5" hidden="1" customHeight="1">
      <c r="A119" s="501"/>
      <c r="B119" s="163" t="s">
        <v>535</v>
      </c>
      <c r="C119" s="164" t="s">
        <v>1265</v>
      </c>
      <c r="D119" s="167" t="s">
        <v>1094</v>
      </c>
      <c r="E119" s="288"/>
      <c r="F119" s="289">
        <v>46181</v>
      </c>
      <c r="G119" s="180" t="s">
        <v>1041</v>
      </c>
      <c r="H119" s="186"/>
      <c r="I119" s="186"/>
      <c r="J119" s="188"/>
      <c r="K119" s="186" t="s">
        <v>1185</v>
      </c>
      <c r="L119" s="186" t="s">
        <v>1210</v>
      </c>
      <c r="M119" s="186" t="s">
        <v>1210</v>
      </c>
      <c r="N119" s="186" t="s">
        <v>1212</v>
      </c>
      <c r="O119" s="188">
        <v>46188</v>
      </c>
      <c r="P119" s="194" t="s">
        <v>1266</v>
      </c>
      <c r="Q119" s="389"/>
      <c r="R119" s="200"/>
      <c r="S119" s="200"/>
      <c r="T119" s="200"/>
      <c r="U119" s="200"/>
      <c r="V119" s="200"/>
      <c r="W119" s="200"/>
      <c r="X119" s="202"/>
      <c r="Y119" s="199">
        <f>O119+4</f>
        <v>46192</v>
      </c>
      <c r="Z119" s="199">
        <f>O119+6</f>
        <v>46194</v>
      </c>
      <c r="AA119" s="199">
        <f>O119+14</f>
        <v>46202</v>
      </c>
      <c r="AB119" s="199">
        <f>O119+16</f>
        <v>46204</v>
      </c>
      <c r="AC119" s="233">
        <f>O119+18</f>
        <v>46206</v>
      </c>
      <c r="AD119" s="205" t="s">
        <v>1046</v>
      </c>
    </row>
    <row r="120" spans="1:30" ht="25.5" hidden="1" customHeight="1">
      <c r="A120" s="501"/>
      <c r="B120" s="222" t="s">
        <v>65</v>
      </c>
      <c r="C120" s="164" t="s">
        <v>1267</v>
      </c>
      <c r="D120" s="223" t="s">
        <v>606</v>
      </c>
      <c r="E120" s="170">
        <v>46199</v>
      </c>
      <c r="F120" s="170">
        <v>46198</v>
      </c>
      <c r="G120" s="180" t="s">
        <v>576</v>
      </c>
      <c r="H120" s="186" t="s">
        <v>1268</v>
      </c>
      <c r="I120" s="186" t="s">
        <v>1269</v>
      </c>
      <c r="J120" s="188">
        <v>46204</v>
      </c>
      <c r="K120" s="186" t="s">
        <v>1268</v>
      </c>
      <c r="L120" s="186" t="s">
        <v>1269</v>
      </c>
      <c r="M120" s="186" t="s">
        <v>1270</v>
      </c>
      <c r="N120" s="186" t="s">
        <v>1271</v>
      </c>
      <c r="O120" s="188">
        <v>46205</v>
      </c>
      <c r="P120" s="194" t="s">
        <v>1272</v>
      </c>
      <c r="Q120" s="233"/>
      <c r="R120" s="231"/>
      <c r="S120" s="233">
        <f>O120+5</f>
        <v>46210</v>
      </c>
      <c r="T120" s="233">
        <f>O120+7</f>
        <v>46212</v>
      </c>
      <c r="U120" s="234"/>
      <c r="V120" s="233">
        <f>O120+12</f>
        <v>46217</v>
      </c>
      <c r="W120" s="233">
        <f>O120+13</f>
        <v>46218</v>
      </c>
      <c r="X120" s="231"/>
      <c r="Y120" s="231"/>
      <c r="Z120" s="231"/>
      <c r="AA120" s="231"/>
      <c r="AB120" s="231"/>
      <c r="AC120" s="234"/>
      <c r="AD120" s="372"/>
    </row>
    <row r="121" spans="1:30" ht="25.5" hidden="1" customHeight="1">
      <c r="A121" s="501"/>
      <c r="B121" s="163" t="s">
        <v>454</v>
      </c>
      <c r="C121" s="164" t="s">
        <v>1273</v>
      </c>
      <c r="D121" s="167" t="s">
        <v>1079</v>
      </c>
      <c r="E121" s="288"/>
      <c r="F121" s="289">
        <v>46191</v>
      </c>
      <c r="G121" s="180" t="s">
        <v>482</v>
      </c>
      <c r="H121" s="186"/>
      <c r="I121" s="186"/>
      <c r="J121" s="186" t="s">
        <v>599</v>
      </c>
      <c r="K121" s="186" t="s">
        <v>1274</v>
      </c>
      <c r="L121" s="186" t="s">
        <v>1275</v>
      </c>
      <c r="M121" s="186" t="s">
        <v>1276</v>
      </c>
      <c r="N121" s="186" t="s">
        <v>1277</v>
      </c>
      <c r="O121" s="188">
        <v>46199</v>
      </c>
      <c r="P121" s="194" t="s">
        <v>1278</v>
      </c>
      <c r="Q121" s="197">
        <f>O121+4</f>
        <v>46203</v>
      </c>
      <c r="R121" s="199">
        <f t="shared" ref="R121:R122" si="24">O121+5</f>
        <v>46204</v>
      </c>
      <c r="S121" s="200"/>
      <c r="T121" s="200"/>
      <c r="U121" s="200"/>
      <c r="V121" s="200"/>
      <c r="W121" s="200"/>
      <c r="X121" s="202"/>
      <c r="Y121" s="200"/>
      <c r="Z121" s="200"/>
      <c r="AA121" s="200"/>
      <c r="AB121" s="200"/>
      <c r="AC121" s="234"/>
      <c r="AD121" s="205" t="s">
        <v>755</v>
      </c>
    </row>
    <row r="122" spans="1:30" ht="25.5" hidden="1" customHeight="1">
      <c r="A122" s="501"/>
      <c r="B122" s="377" t="s">
        <v>204</v>
      </c>
      <c r="C122" s="378" t="s">
        <v>1279</v>
      </c>
      <c r="D122" s="379" t="s">
        <v>520</v>
      </c>
      <c r="E122" s="390">
        <v>46193</v>
      </c>
      <c r="F122" s="390">
        <v>46192</v>
      </c>
      <c r="G122" s="415" t="s">
        <v>521</v>
      </c>
      <c r="H122" s="336" t="s">
        <v>1280</v>
      </c>
      <c r="I122" s="336" t="s">
        <v>1281</v>
      </c>
      <c r="J122" s="337">
        <v>46200</v>
      </c>
      <c r="K122" s="336" t="s">
        <v>1280</v>
      </c>
      <c r="L122" s="336" t="s">
        <v>1281</v>
      </c>
      <c r="M122" s="336" t="s">
        <v>1282</v>
      </c>
      <c r="N122" s="336" t="s">
        <v>1283</v>
      </c>
      <c r="O122" s="337">
        <v>46201</v>
      </c>
      <c r="P122" s="194" t="s">
        <v>1284</v>
      </c>
      <c r="Q122" s="197">
        <f>O122+6</f>
        <v>46207</v>
      </c>
      <c r="R122" s="199">
        <f t="shared" si="24"/>
        <v>46206</v>
      </c>
      <c r="S122" s="388" t="s">
        <v>599</v>
      </c>
      <c r="T122" s="200"/>
      <c r="U122" s="200"/>
      <c r="V122" s="200"/>
      <c r="W122" s="200"/>
      <c r="X122" s="202"/>
      <c r="Y122" s="200"/>
      <c r="Z122" s="200"/>
      <c r="AA122" s="200"/>
      <c r="AB122" s="200"/>
      <c r="AC122" s="234"/>
      <c r="AD122" s="205" t="s">
        <v>542</v>
      </c>
    </row>
    <row r="123" spans="1:30" ht="25.5" hidden="1" customHeight="1">
      <c r="A123" s="501"/>
      <c r="B123" s="163" t="s">
        <v>1108</v>
      </c>
      <c r="C123" s="164" t="s">
        <v>1285</v>
      </c>
      <c r="D123" s="167" t="s">
        <v>1147</v>
      </c>
      <c r="E123" s="288"/>
      <c r="F123" s="289">
        <v>46187</v>
      </c>
      <c r="G123" s="180" t="s">
        <v>1111</v>
      </c>
      <c r="H123" s="186"/>
      <c r="I123" s="186"/>
      <c r="J123" s="188"/>
      <c r="K123" s="186" t="s">
        <v>1286</v>
      </c>
      <c r="L123" s="186" t="s">
        <v>1287</v>
      </c>
      <c r="M123" s="186" t="s">
        <v>1288</v>
      </c>
      <c r="N123" s="186" t="s">
        <v>1289</v>
      </c>
      <c r="O123" s="188">
        <v>46196</v>
      </c>
      <c r="P123" s="261" t="s">
        <v>1290</v>
      </c>
      <c r="Q123" s="389"/>
      <c r="R123" s="200"/>
      <c r="S123" s="200"/>
      <c r="T123" s="200"/>
      <c r="U123" s="200"/>
      <c r="V123" s="200"/>
      <c r="W123" s="200"/>
      <c r="X123" s="202"/>
      <c r="Y123" s="200"/>
      <c r="Z123" s="200"/>
      <c r="AA123" s="199">
        <f>O123+14</f>
        <v>46210</v>
      </c>
      <c r="AB123" s="200"/>
      <c r="AC123" s="200"/>
      <c r="AD123" s="205"/>
    </row>
    <row r="124" spans="1:30" ht="25.5" hidden="1" customHeight="1">
      <c r="A124" s="502"/>
      <c r="B124" s="332" t="s">
        <v>62</v>
      </c>
      <c r="C124" s="333" t="s">
        <v>1291</v>
      </c>
      <c r="D124" s="334" t="s">
        <v>1292</v>
      </c>
      <c r="E124" s="335">
        <v>46189</v>
      </c>
      <c r="F124" s="335">
        <v>46188</v>
      </c>
      <c r="G124" s="259" t="s">
        <v>664</v>
      </c>
      <c r="H124" s="336" t="s">
        <v>1240</v>
      </c>
      <c r="I124" s="336" t="s">
        <v>1293</v>
      </c>
      <c r="J124" s="337">
        <v>46194</v>
      </c>
      <c r="K124" s="336" t="s">
        <v>1240</v>
      </c>
      <c r="L124" s="336" t="s">
        <v>1293</v>
      </c>
      <c r="M124" s="336" t="s">
        <v>1294</v>
      </c>
      <c r="N124" s="186" t="s">
        <v>1243</v>
      </c>
      <c r="O124" s="188">
        <v>46195</v>
      </c>
      <c r="P124" s="261" t="s">
        <v>1295</v>
      </c>
      <c r="Q124" s="265"/>
      <c r="R124" s="264"/>
      <c r="S124" s="265">
        <f>O124+5</f>
        <v>46200</v>
      </c>
      <c r="T124" s="264"/>
      <c r="U124" s="264"/>
      <c r="V124" s="264"/>
      <c r="W124" s="265">
        <f>O124+8</f>
        <v>46203</v>
      </c>
      <c r="X124" s="265">
        <f>O124+9</f>
        <v>46204</v>
      </c>
      <c r="Y124" s="264"/>
      <c r="Z124" s="264"/>
      <c r="AA124" s="264"/>
      <c r="AB124" s="264"/>
      <c r="AC124" s="264"/>
      <c r="AD124" s="267"/>
    </row>
    <row r="125" spans="1:30" ht="25.5" hidden="1" customHeight="1">
      <c r="A125" s="507">
        <v>26</v>
      </c>
      <c r="B125" s="163" t="s">
        <v>1296</v>
      </c>
      <c r="C125" s="164" t="s">
        <v>1297</v>
      </c>
      <c r="D125" s="167" t="s">
        <v>1094</v>
      </c>
      <c r="E125" s="288"/>
      <c r="F125" s="289">
        <v>46195</v>
      </c>
      <c r="G125" s="180" t="s">
        <v>1041</v>
      </c>
      <c r="H125" s="186"/>
      <c r="I125" s="186"/>
      <c r="J125" s="186"/>
      <c r="K125" s="186" t="s">
        <v>1282</v>
      </c>
      <c r="L125" s="186" t="s">
        <v>1298</v>
      </c>
      <c r="M125" s="186" t="s">
        <v>1299</v>
      </c>
      <c r="N125" s="186" t="s">
        <v>1300</v>
      </c>
      <c r="O125" s="188">
        <v>46202</v>
      </c>
      <c r="P125" s="194" t="s">
        <v>1301</v>
      </c>
      <c r="Q125" s="389"/>
      <c r="R125" s="199">
        <f>O125+12</f>
        <v>46214</v>
      </c>
      <c r="S125" s="200"/>
      <c r="T125" s="200"/>
      <c r="U125" s="199"/>
      <c r="V125" s="199">
        <f>O125+7</f>
        <v>46209</v>
      </c>
      <c r="W125" s="199">
        <f>O125+9</f>
        <v>46211</v>
      </c>
      <c r="X125" s="199">
        <f>O125+10</f>
        <v>46212</v>
      </c>
      <c r="Y125" s="200"/>
      <c r="Z125" s="200"/>
      <c r="AA125" s="200"/>
      <c r="AB125" s="200"/>
      <c r="AC125" s="234"/>
      <c r="AD125" s="205" t="s">
        <v>1302</v>
      </c>
    </row>
    <row r="126" spans="1:30" ht="25.5" hidden="1" customHeight="1">
      <c r="A126" s="501"/>
      <c r="B126" s="222" t="s">
        <v>65</v>
      </c>
      <c r="C126" s="164" t="s">
        <v>1303</v>
      </c>
      <c r="D126" s="223" t="s">
        <v>606</v>
      </c>
      <c r="E126" s="170">
        <v>46205</v>
      </c>
      <c r="F126" s="170">
        <v>46204</v>
      </c>
      <c r="G126" s="180" t="s">
        <v>576</v>
      </c>
      <c r="H126" s="186" t="s">
        <v>1304</v>
      </c>
      <c r="I126" s="186" t="s">
        <v>1305</v>
      </c>
      <c r="J126" s="188">
        <v>46211</v>
      </c>
      <c r="K126" s="186" t="s">
        <v>1304</v>
      </c>
      <c r="L126" s="186" t="s">
        <v>1305</v>
      </c>
      <c r="M126" s="186" t="s">
        <v>1306</v>
      </c>
      <c r="N126" s="186" t="s">
        <v>1307</v>
      </c>
      <c r="O126" s="188">
        <v>46212</v>
      </c>
      <c r="P126" s="194" t="s">
        <v>1308</v>
      </c>
      <c r="Q126" s="233"/>
      <c r="R126" s="231"/>
      <c r="S126" s="233">
        <f>O126+5</f>
        <v>46217</v>
      </c>
      <c r="T126" s="233">
        <f>O126+7</f>
        <v>46219</v>
      </c>
      <c r="U126" s="233">
        <f>O126+9</f>
        <v>46221</v>
      </c>
      <c r="V126" s="233">
        <f>O126+12</f>
        <v>46224</v>
      </c>
      <c r="W126" s="233">
        <f>O126+13</f>
        <v>46225</v>
      </c>
      <c r="X126" s="231"/>
      <c r="Y126" s="231"/>
      <c r="Z126" s="231"/>
      <c r="AA126" s="231"/>
      <c r="AB126" s="231"/>
      <c r="AC126" s="234"/>
      <c r="AD126" s="372"/>
    </row>
    <row r="127" spans="1:30" ht="25.5" hidden="1" customHeight="1">
      <c r="A127" s="501"/>
      <c r="B127" s="377" t="s">
        <v>454</v>
      </c>
      <c r="C127" s="378" t="s">
        <v>1309</v>
      </c>
      <c r="D127" s="379" t="s">
        <v>1079</v>
      </c>
      <c r="E127" s="390"/>
      <c r="F127" s="390">
        <v>46195</v>
      </c>
      <c r="G127" s="391" t="s">
        <v>482</v>
      </c>
      <c r="H127" s="336"/>
      <c r="I127" s="336"/>
      <c r="J127" s="337" t="s">
        <v>599</v>
      </c>
      <c r="K127" s="336" t="s">
        <v>1299</v>
      </c>
      <c r="L127" s="336" t="s">
        <v>1310</v>
      </c>
      <c r="M127" s="336" t="s">
        <v>1311</v>
      </c>
      <c r="N127" s="186" t="s">
        <v>1312</v>
      </c>
      <c r="O127" s="188">
        <v>46203</v>
      </c>
      <c r="P127" s="194" t="s">
        <v>1313</v>
      </c>
      <c r="Q127" s="197">
        <f>O127+4</f>
        <v>46207</v>
      </c>
      <c r="R127" s="199">
        <f t="shared" ref="R127:R128" si="25">O127+5</f>
        <v>46208</v>
      </c>
      <c r="S127" s="200"/>
      <c r="T127" s="200"/>
      <c r="U127" s="200"/>
      <c r="V127" s="200"/>
      <c r="W127" s="200"/>
      <c r="X127" s="202"/>
      <c r="Y127" s="200"/>
      <c r="Z127" s="200"/>
      <c r="AA127" s="200"/>
      <c r="AB127" s="200"/>
      <c r="AC127" s="234"/>
      <c r="AD127" s="205" t="s">
        <v>755</v>
      </c>
    </row>
    <row r="128" spans="1:30" ht="25.5" hidden="1" customHeight="1">
      <c r="A128" s="501"/>
      <c r="B128" s="377" t="s">
        <v>204</v>
      </c>
      <c r="C128" s="378" t="s">
        <v>1314</v>
      </c>
      <c r="D128" s="379" t="s">
        <v>520</v>
      </c>
      <c r="E128" s="390">
        <v>46198</v>
      </c>
      <c r="F128" s="390">
        <v>46197</v>
      </c>
      <c r="G128" s="415" t="s">
        <v>521</v>
      </c>
      <c r="H128" s="336" t="s">
        <v>1315</v>
      </c>
      <c r="I128" s="336" t="s">
        <v>1310</v>
      </c>
      <c r="J128" s="337">
        <v>46202</v>
      </c>
      <c r="K128" s="336" t="s">
        <v>1315</v>
      </c>
      <c r="L128" s="336" t="s">
        <v>1310</v>
      </c>
      <c r="M128" s="336" t="s">
        <v>1316</v>
      </c>
      <c r="N128" s="186" t="s">
        <v>1317</v>
      </c>
      <c r="O128" s="188">
        <v>46203</v>
      </c>
      <c r="P128" s="194" t="s">
        <v>1318</v>
      </c>
      <c r="Q128" s="197">
        <f>O128+6</f>
        <v>46209</v>
      </c>
      <c r="R128" s="199">
        <f t="shared" si="25"/>
        <v>46208</v>
      </c>
      <c r="S128" s="200"/>
      <c r="T128" s="200"/>
      <c r="U128" s="200"/>
      <c r="V128" s="200"/>
      <c r="W128" s="200"/>
      <c r="X128" s="202"/>
      <c r="Y128" s="200"/>
      <c r="Z128" s="200"/>
      <c r="AA128" s="200"/>
      <c r="AB128" s="200"/>
      <c r="AC128" s="234"/>
      <c r="AD128" s="205"/>
    </row>
    <row r="129" spans="1:30" ht="25.5" hidden="1" customHeight="1">
      <c r="A129" s="502"/>
      <c r="B129" s="249" t="s">
        <v>62</v>
      </c>
      <c r="C129" s="252" t="s">
        <v>1319</v>
      </c>
      <c r="D129" s="253" t="s">
        <v>606</v>
      </c>
      <c r="E129" s="254">
        <v>46204</v>
      </c>
      <c r="F129" s="254">
        <v>46202</v>
      </c>
      <c r="G129" s="259" t="s">
        <v>576</v>
      </c>
      <c r="H129" s="186" t="s">
        <v>1320</v>
      </c>
      <c r="I129" s="186" t="s">
        <v>1321</v>
      </c>
      <c r="J129" s="188">
        <v>46208</v>
      </c>
      <c r="K129" s="186" t="s">
        <v>1320</v>
      </c>
      <c r="L129" s="186" t="s">
        <v>1321</v>
      </c>
      <c r="M129" s="186" t="s">
        <v>1322</v>
      </c>
      <c r="N129" s="186" t="s">
        <v>1323</v>
      </c>
      <c r="O129" s="188">
        <v>46209</v>
      </c>
      <c r="P129" s="261" t="s">
        <v>1324</v>
      </c>
      <c r="Q129" s="265"/>
      <c r="R129" s="264"/>
      <c r="S129" s="265">
        <f>O129+5</f>
        <v>46214</v>
      </c>
      <c r="T129" s="264"/>
      <c r="U129" s="264"/>
      <c r="V129" s="264"/>
      <c r="W129" s="265">
        <f>O129+8</f>
        <v>46217</v>
      </c>
      <c r="X129" s="265">
        <f>O129+9</f>
        <v>46218</v>
      </c>
      <c r="Y129" s="264"/>
      <c r="Z129" s="264"/>
      <c r="AA129" s="264"/>
      <c r="AB129" s="264"/>
      <c r="AC129" s="264"/>
      <c r="AD129" s="267"/>
    </row>
    <row r="130" spans="1:30" ht="25.5" hidden="1" customHeight="1">
      <c r="A130" s="507">
        <v>27</v>
      </c>
      <c r="B130" s="163" t="s">
        <v>518</v>
      </c>
      <c r="C130" s="164" t="s">
        <v>1325</v>
      </c>
      <c r="D130" s="167" t="s">
        <v>1169</v>
      </c>
      <c r="E130" s="288"/>
      <c r="F130" s="289">
        <v>46198</v>
      </c>
      <c r="G130" s="180" t="s">
        <v>664</v>
      </c>
      <c r="H130" s="186"/>
      <c r="I130" s="186"/>
      <c r="J130" s="188"/>
      <c r="K130" s="186" t="s">
        <v>1326</v>
      </c>
      <c r="L130" s="186" t="s">
        <v>1326</v>
      </c>
      <c r="M130" s="186" t="s">
        <v>1327</v>
      </c>
      <c r="N130" s="186" t="s">
        <v>1328</v>
      </c>
      <c r="O130" s="188">
        <v>46205</v>
      </c>
      <c r="P130" s="194" t="s">
        <v>1329</v>
      </c>
      <c r="Q130" s="197">
        <f>O130+5</f>
        <v>46210</v>
      </c>
      <c r="R130" s="200"/>
      <c r="S130" s="197">
        <f>O130+4</f>
        <v>46209</v>
      </c>
      <c r="T130" s="200"/>
      <c r="U130" s="200"/>
      <c r="V130" s="199">
        <f>O130+13</f>
        <v>46218</v>
      </c>
      <c r="W130" s="200"/>
      <c r="X130" s="202"/>
      <c r="Y130" s="200"/>
      <c r="Z130" s="200"/>
      <c r="AA130" s="200"/>
      <c r="AB130" s="200"/>
      <c r="AC130" s="200"/>
      <c r="AD130" s="205" t="s">
        <v>941</v>
      </c>
    </row>
    <row r="131" spans="1:30" ht="25.5" hidden="1" customHeight="1">
      <c r="A131" s="501"/>
      <c r="B131" s="163" t="s">
        <v>454</v>
      </c>
      <c r="C131" s="164" t="s">
        <v>1330</v>
      </c>
      <c r="D131" s="167" t="s">
        <v>478</v>
      </c>
      <c r="E131" s="289">
        <v>46208</v>
      </c>
      <c r="F131" s="289">
        <v>46207</v>
      </c>
      <c r="G131" s="180" t="s">
        <v>482</v>
      </c>
      <c r="H131" s="186" t="s">
        <v>1331</v>
      </c>
      <c r="I131" s="186" t="s">
        <v>1332</v>
      </c>
      <c r="J131" s="188">
        <v>46215</v>
      </c>
      <c r="K131" s="186" t="s">
        <v>1331</v>
      </c>
      <c r="L131" s="186" t="s">
        <v>1332</v>
      </c>
      <c r="M131" s="186" t="s">
        <v>1333</v>
      </c>
      <c r="N131" s="186" t="s">
        <v>1334</v>
      </c>
      <c r="O131" s="188">
        <v>46216</v>
      </c>
      <c r="P131" s="194" t="s">
        <v>1335</v>
      </c>
      <c r="Q131" s="197">
        <f>O131+4</f>
        <v>46220</v>
      </c>
      <c r="R131" s="199">
        <f t="shared" ref="R131:R132" si="26">O131+5</f>
        <v>46221</v>
      </c>
      <c r="S131" s="200"/>
      <c r="T131" s="200"/>
      <c r="U131" s="200"/>
      <c r="V131" s="200"/>
      <c r="W131" s="200"/>
      <c r="X131" s="202"/>
      <c r="Y131" s="200"/>
      <c r="Z131" s="200"/>
      <c r="AA131" s="200"/>
      <c r="AB131" s="200"/>
      <c r="AC131" s="200"/>
      <c r="AD131" s="205" t="s">
        <v>755</v>
      </c>
    </row>
    <row r="132" spans="1:30" ht="25.5" hidden="1" customHeight="1">
      <c r="A132" s="501"/>
      <c r="B132" s="163" t="s">
        <v>204</v>
      </c>
      <c r="C132" s="164" t="s">
        <v>1336</v>
      </c>
      <c r="D132" s="167" t="s">
        <v>1337</v>
      </c>
      <c r="E132" s="288"/>
      <c r="F132" s="289">
        <v>46206</v>
      </c>
      <c r="G132" s="209" t="s">
        <v>521</v>
      </c>
      <c r="H132" s="186"/>
      <c r="I132" s="186"/>
      <c r="J132" s="186" t="s">
        <v>599</v>
      </c>
      <c r="K132" s="186" t="s">
        <v>1338</v>
      </c>
      <c r="L132" s="186" t="s">
        <v>1339</v>
      </c>
      <c r="M132" s="186" t="s">
        <v>1340</v>
      </c>
      <c r="N132" s="186" t="s">
        <v>1341</v>
      </c>
      <c r="O132" s="188">
        <v>46214</v>
      </c>
      <c r="P132" s="194" t="s">
        <v>1342</v>
      </c>
      <c r="Q132" s="197">
        <f>O132+6</f>
        <v>46220</v>
      </c>
      <c r="R132" s="199">
        <f t="shared" si="26"/>
        <v>46219</v>
      </c>
      <c r="S132" s="388" t="s">
        <v>599</v>
      </c>
      <c r="T132" s="200"/>
      <c r="U132" s="200"/>
      <c r="V132" s="200"/>
      <c r="W132" s="200"/>
      <c r="X132" s="202"/>
      <c r="Y132" s="200"/>
      <c r="Z132" s="200"/>
      <c r="AA132" s="200"/>
      <c r="AB132" s="200"/>
      <c r="AC132" s="234"/>
      <c r="AD132" s="205" t="s">
        <v>542</v>
      </c>
    </row>
    <row r="133" spans="1:30" ht="25.5" hidden="1" customHeight="1">
      <c r="A133" s="502"/>
      <c r="B133" s="249" t="s">
        <v>62</v>
      </c>
      <c r="C133" s="252" t="s">
        <v>1343</v>
      </c>
      <c r="D133" s="253" t="s">
        <v>606</v>
      </c>
      <c r="E133" s="254">
        <v>46206</v>
      </c>
      <c r="F133" s="254">
        <v>46205</v>
      </c>
      <c r="G133" s="259" t="s">
        <v>576</v>
      </c>
      <c r="H133" s="186" t="s">
        <v>1344</v>
      </c>
      <c r="I133" s="186" t="s">
        <v>1306</v>
      </c>
      <c r="J133" s="188">
        <v>46210</v>
      </c>
      <c r="K133" s="186" t="s">
        <v>1344</v>
      </c>
      <c r="L133" s="186" t="s">
        <v>1306</v>
      </c>
      <c r="M133" s="186" t="s">
        <v>1345</v>
      </c>
      <c r="N133" s="186" t="s">
        <v>1346</v>
      </c>
      <c r="O133" s="188">
        <v>46211</v>
      </c>
      <c r="P133" s="261" t="s">
        <v>1347</v>
      </c>
      <c r="Q133" s="265"/>
      <c r="R133" s="264"/>
      <c r="S133" s="265">
        <f>O133+5</f>
        <v>46216</v>
      </c>
      <c r="T133" s="264"/>
      <c r="U133" s="264"/>
      <c r="V133" s="264"/>
      <c r="W133" s="265">
        <f>O133+8</f>
        <v>46219</v>
      </c>
      <c r="X133" s="265">
        <f>O133+9</f>
        <v>46220</v>
      </c>
      <c r="Y133" s="264"/>
      <c r="Z133" s="264"/>
      <c r="AA133" s="264"/>
      <c r="AB133" s="264"/>
      <c r="AC133" s="264"/>
      <c r="AD133" s="267"/>
    </row>
    <row r="134" spans="1:30" ht="25.5" hidden="1" customHeight="1">
      <c r="A134" s="507">
        <v>28</v>
      </c>
      <c r="B134" s="163" t="s">
        <v>535</v>
      </c>
      <c r="C134" s="164" t="s">
        <v>1348</v>
      </c>
      <c r="D134" s="167" t="s">
        <v>1094</v>
      </c>
      <c r="E134" s="288"/>
      <c r="F134" s="289">
        <v>46209</v>
      </c>
      <c r="G134" s="180" t="s">
        <v>1041</v>
      </c>
      <c r="H134" s="186"/>
      <c r="I134" s="186"/>
      <c r="J134" s="188"/>
      <c r="K134" s="186" t="s">
        <v>1333</v>
      </c>
      <c r="L134" s="186" t="s">
        <v>1349</v>
      </c>
      <c r="M134" s="186" t="s">
        <v>1350</v>
      </c>
      <c r="N134" s="186" t="s">
        <v>1351</v>
      </c>
      <c r="O134" s="188">
        <v>46218</v>
      </c>
      <c r="P134" s="194" t="s">
        <v>1352</v>
      </c>
      <c r="Q134" s="389"/>
      <c r="R134" s="200"/>
      <c r="S134" s="200"/>
      <c r="T134" s="200"/>
      <c r="U134" s="200"/>
      <c r="V134" s="200"/>
      <c r="W134" s="200"/>
      <c r="X134" s="202"/>
      <c r="Y134" s="199">
        <f>O134+4</f>
        <v>46222</v>
      </c>
      <c r="Z134" s="199">
        <f>O134+6</f>
        <v>46224</v>
      </c>
      <c r="AA134" s="199">
        <f>O134+14</f>
        <v>46232</v>
      </c>
      <c r="AB134" s="199">
        <f>O134+16</f>
        <v>46234</v>
      </c>
      <c r="AC134" s="199">
        <f>O134+18</f>
        <v>46236</v>
      </c>
      <c r="AD134" s="205" t="s">
        <v>1046</v>
      </c>
    </row>
    <row r="135" spans="1:30" ht="25.5" hidden="1" customHeight="1">
      <c r="A135" s="501"/>
      <c r="B135" s="163" t="s">
        <v>518</v>
      </c>
      <c r="C135" s="164" t="s">
        <v>1353</v>
      </c>
      <c r="D135" s="167" t="s">
        <v>1169</v>
      </c>
      <c r="E135" s="288"/>
      <c r="F135" s="289">
        <v>46202</v>
      </c>
      <c r="G135" s="180" t="s">
        <v>664</v>
      </c>
      <c r="H135" s="186"/>
      <c r="I135" s="186"/>
      <c r="J135" s="188"/>
      <c r="K135" s="186" t="s">
        <v>1354</v>
      </c>
      <c r="L135" s="186" t="s">
        <v>1355</v>
      </c>
      <c r="M135" s="186" t="s">
        <v>1322</v>
      </c>
      <c r="N135" s="186" t="s">
        <v>1356</v>
      </c>
      <c r="O135" s="188">
        <v>46210</v>
      </c>
      <c r="P135" s="350"/>
      <c r="Q135" s="197">
        <f>O135+5</f>
        <v>46215</v>
      </c>
      <c r="R135" s="200"/>
      <c r="S135" s="197">
        <f>O135+4</f>
        <v>46214</v>
      </c>
      <c r="T135" s="200"/>
      <c r="U135" s="200"/>
      <c r="V135" s="199">
        <f>O135+13</f>
        <v>46223</v>
      </c>
      <c r="W135" s="200"/>
      <c r="X135" s="202"/>
      <c r="Y135" s="200"/>
      <c r="Z135" s="200"/>
      <c r="AA135" s="200"/>
      <c r="AB135" s="200"/>
      <c r="AC135" s="200"/>
      <c r="AD135" s="205" t="s">
        <v>941</v>
      </c>
    </row>
    <row r="136" spans="1:30" ht="25.5" hidden="1" customHeight="1">
      <c r="A136" s="501"/>
      <c r="B136" s="163" t="s">
        <v>65</v>
      </c>
      <c r="C136" s="164" t="s">
        <v>1357</v>
      </c>
      <c r="D136" s="167" t="s">
        <v>606</v>
      </c>
      <c r="E136" s="289">
        <v>46212</v>
      </c>
      <c r="F136" s="289">
        <v>46211</v>
      </c>
      <c r="G136" s="180" t="s">
        <v>576</v>
      </c>
      <c r="H136" s="186" t="s">
        <v>1349</v>
      </c>
      <c r="I136" s="186" t="s">
        <v>1350</v>
      </c>
      <c r="J136" s="188">
        <v>46217</v>
      </c>
      <c r="K136" s="186" t="s">
        <v>1349</v>
      </c>
      <c r="L136" s="186" t="s">
        <v>1350</v>
      </c>
      <c r="M136" s="186" t="s">
        <v>1358</v>
      </c>
      <c r="N136" s="186" t="s">
        <v>1359</v>
      </c>
      <c r="O136" s="188">
        <v>46218</v>
      </c>
      <c r="P136" s="194" t="s">
        <v>1360</v>
      </c>
      <c r="Q136" s="233"/>
      <c r="R136" s="231"/>
      <c r="S136" s="233">
        <f>O136+5</f>
        <v>46223</v>
      </c>
      <c r="T136" s="233">
        <f>O136+7</f>
        <v>46225</v>
      </c>
      <c r="U136" s="233">
        <f>O136+9</f>
        <v>46227</v>
      </c>
      <c r="V136" s="233">
        <f>O136+10</f>
        <v>46228</v>
      </c>
      <c r="W136" s="233">
        <f>O136+12</f>
        <v>46230</v>
      </c>
      <c r="X136" s="231"/>
      <c r="Y136" s="231"/>
      <c r="Z136" s="231"/>
      <c r="AA136" s="231"/>
      <c r="AB136" s="231"/>
      <c r="AC136" s="234"/>
      <c r="AD136" s="372"/>
    </row>
    <row r="137" spans="1:30" ht="25.5" hidden="1" customHeight="1">
      <c r="A137" s="501"/>
      <c r="B137" s="163" t="s">
        <v>454</v>
      </c>
      <c r="C137" s="164" t="s">
        <v>1361</v>
      </c>
      <c r="D137" s="167" t="s">
        <v>478</v>
      </c>
      <c r="E137" s="289">
        <v>46217</v>
      </c>
      <c r="F137" s="289">
        <v>46216</v>
      </c>
      <c r="G137" s="180" t="s">
        <v>482</v>
      </c>
      <c r="H137" s="186" t="s">
        <v>1362</v>
      </c>
      <c r="I137" s="186" t="s">
        <v>1362</v>
      </c>
      <c r="J137" s="188">
        <v>46223</v>
      </c>
      <c r="K137" s="186" t="s">
        <v>1362</v>
      </c>
      <c r="L137" s="186" t="s">
        <v>1362</v>
      </c>
      <c r="M137" s="186" t="s">
        <v>1363</v>
      </c>
      <c r="N137" s="186" t="s">
        <v>1364</v>
      </c>
      <c r="O137" s="188">
        <v>46224</v>
      </c>
      <c r="P137" s="194" t="s">
        <v>1365</v>
      </c>
      <c r="Q137" s="197">
        <f>O137+4</f>
        <v>46228</v>
      </c>
      <c r="R137" s="199">
        <f t="shared" ref="R137:R138" si="27">O137+5</f>
        <v>46229</v>
      </c>
      <c r="S137" s="200"/>
      <c r="T137" s="200"/>
      <c r="U137" s="200"/>
      <c r="V137" s="200"/>
      <c r="W137" s="200"/>
      <c r="X137" s="202"/>
      <c r="Y137" s="200"/>
      <c r="Z137" s="200"/>
      <c r="AA137" s="200"/>
      <c r="AB137" s="200"/>
      <c r="AC137" s="234"/>
      <c r="AD137" s="205" t="s">
        <v>755</v>
      </c>
    </row>
    <row r="138" spans="1:30" ht="25.5" hidden="1" customHeight="1">
      <c r="A138" s="501"/>
      <c r="B138" s="163" t="s">
        <v>204</v>
      </c>
      <c r="C138" s="164" t="s">
        <v>1366</v>
      </c>
      <c r="D138" s="167" t="s">
        <v>520</v>
      </c>
      <c r="E138" s="289">
        <v>46212</v>
      </c>
      <c r="F138" s="289">
        <v>46210</v>
      </c>
      <c r="G138" s="209" t="s">
        <v>521</v>
      </c>
      <c r="H138" s="186" t="s">
        <v>1367</v>
      </c>
      <c r="I138" s="186" t="s">
        <v>1349</v>
      </c>
      <c r="J138" s="188">
        <v>46216</v>
      </c>
      <c r="K138" s="186" t="s">
        <v>1367</v>
      </c>
      <c r="L138" s="186" t="s">
        <v>1349</v>
      </c>
      <c r="M138" s="186" t="s">
        <v>1368</v>
      </c>
      <c r="N138" s="186" t="s">
        <v>1369</v>
      </c>
      <c r="O138" s="188">
        <v>46217</v>
      </c>
      <c r="P138" s="194" t="s">
        <v>1370</v>
      </c>
      <c r="Q138" s="197">
        <f>O138+6</f>
        <v>46223</v>
      </c>
      <c r="R138" s="199">
        <f t="shared" si="27"/>
        <v>46222</v>
      </c>
      <c r="S138" s="200"/>
      <c r="T138" s="200"/>
      <c r="U138" s="200"/>
      <c r="V138" s="200"/>
      <c r="W138" s="200"/>
      <c r="X138" s="202"/>
      <c r="Y138" s="200"/>
      <c r="Z138" s="200"/>
      <c r="AA138" s="200"/>
      <c r="AB138" s="200"/>
      <c r="AC138" s="234"/>
      <c r="AD138" s="205"/>
    </row>
    <row r="139" spans="1:30" ht="25.5" hidden="1" customHeight="1">
      <c r="A139" s="502"/>
      <c r="B139" s="249" t="s">
        <v>62</v>
      </c>
      <c r="C139" s="252" t="s">
        <v>1371</v>
      </c>
      <c r="D139" s="253" t="s">
        <v>606</v>
      </c>
      <c r="E139" s="254">
        <v>46211</v>
      </c>
      <c r="F139" s="254">
        <v>46210</v>
      </c>
      <c r="G139" s="259" t="s">
        <v>576</v>
      </c>
      <c r="H139" s="186" t="s">
        <v>1351</v>
      </c>
      <c r="I139" s="186" t="s">
        <v>1372</v>
      </c>
      <c r="J139" s="188">
        <v>46218</v>
      </c>
      <c r="K139" s="186" t="s">
        <v>1351</v>
      </c>
      <c r="L139" s="186" t="s">
        <v>1372</v>
      </c>
      <c r="M139" s="186" t="s">
        <v>1373</v>
      </c>
      <c r="N139" s="186" t="s">
        <v>1374</v>
      </c>
      <c r="O139" s="188">
        <v>46218</v>
      </c>
      <c r="P139" s="261" t="s">
        <v>1375</v>
      </c>
      <c r="Q139" s="265"/>
      <c r="R139" s="264"/>
      <c r="S139" s="265">
        <f>O139+5</f>
        <v>46223</v>
      </c>
      <c r="T139" s="264"/>
      <c r="U139" s="264"/>
      <c r="V139" s="264"/>
      <c r="W139" s="265">
        <f>O139+8</f>
        <v>46226</v>
      </c>
      <c r="X139" s="265">
        <f>O139+9</f>
        <v>46227</v>
      </c>
      <c r="Y139" s="264"/>
      <c r="Z139" s="264"/>
      <c r="AA139" s="264"/>
      <c r="AB139" s="264"/>
      <c r="AC139" s="264"/>
      <c r="AD139" s="267"/>
    </row>
    <row r="140" spans="1:30" ht="25.5" hidden="1" customHeight="1">
      <c r="A140" s="507">
        <v>29</v>
      </c>
      <c r="B140" s="163" t="s">
        <v>535</v>
      </c>
      <c r="C140" s="164" t="s">
        <v>1376</v>
      </c>
      <c r="D140" s="167" t="s">
        <v>1094</v>
      </c>
      <c r="E140" s="288"/>
      <c r="F140" s="289">
        <v>46215</v>
      </c>
      <c r="G140" s="180" t="s">
        <v>1041</v>
      </c>
      <c r="H140" s="186"/>
      <c r="I140" s="186"/>
      <c r="J140" s="188"/>
      <c r="K140" s="186" t="s">
        <v>1377</v>
      </c>
      <c r="L140" s="186" t="s">
        <v>1378</v>
      </c>
      <c r="M140" s="186" t="s">
        <v>1379</v>
      </c>
      <c r="N140" s="186" t="s">
        <v>1380</v>
      </c>
      <c r="O140" s="188">
        <v>46222</v>
      </c>
      <c r="P140" s="194" t="s">
        <v>1381</v>
      </c>
      <c r="Q140" s="389"/>
      <c r="R140" s="200"/>
      <c r="S140" s="200"/>
      <c r="T140" s="200"/>
      <c r="U140" s="200"/>
      <c r="V140" s="200"/>
      <c r="W140" s="200"/>
      <c r="X140" s="202"/>
      <c r="Y140" s="199">
        <f>O140+4</f>
        <v>46226</v>
      </c>
      <c r="Z140" s="199">
        <f>O140+6</f>
        <v>46228</v>
      </c>
      <c r="AA140" s="199">
        <f>O140+14</f>
        <v>46236</v>
      </c>
      <c r="AB140" s="199">
        <f>O140+16</f>
        <v>46238</v>
      </c>
      <c r="AC140" s="199">
        <f>O140+18</f>
        <v>46240</v>
      </c>
      <c r="AD140" s="205" t="s">
        <v>1046</v>
      </c>
    </row>
    <row r="141" spans="1:30" ht="25.5" hidden="1" customHeight="1">
      <c r="A141" s="501"/>
      <c r="B141" s="163" t="s">
        <v>518</v>
      </c>
      <c r="C141" s="164" t="s">
        <v>1382</v>
      </c>
      <c r="D141" s="167" t="s">
        <v>1383</v>
      </c>
      <c r="E141" s="288"/>
      <c r="F141" s="289">
        <v>46210</v>
      </c>
      <c r="G141" s="180" t="s">
        <v>1384</v>
      </c>
      <c r="H141" s="186"/>
      <c r="I141" s="186"/>
      <c r="J141" s="188"/>
      <c r="K141" s="186" t="s">
        <v>1385</v>
      </c>
      <c r="L141" s="186" t="s">
        <v>1386</v>
      </c>
      <c r="M141" s="186" t="s">
        <v>1367</v>
      </c>
      <c r="N141" s="186" t="s">
        <v>1387</v>
      </c>
      <c r="O141" s="188">
        <v>46217</v>
      </c>
      <c r="P141" s="194" t="s">
        <v>1388</v>
      </c>
      <c r="Q141" s="197">
        <f>O141+5</f>
        <v>46222</v>
      </c>
      <c r="R141" s="200"/>
      <c r="S141" s="197">
        <f>O141+4</f>
        <v>46221</v>
      </c>
      <c r="T141" s="200"/>
      <c r="U141" s="200"/>
      <c r="V141" s="199">
        <f>O141+13</f>
        <v>46230</v>
      </c>
      <c r="W141" s="200"/>
      <c r="X141" s="202"/>
      <c r="Y141" s="200"/>
      <c r="Z141" s="200"/>
      <c r="AA141" s="200"/>
      <c r="AB141" s="200"/>
      <c r="AC141" s="200"/>
      <c r="AD141" s="205" t="s">
        <v>941</v>
      </c>
    </row>
    <row r="142" spans="1:30" ht="25.5" hidden="1" customHeight="1">
      <c r="A142" s="501"/>
      <c r="B142" s="408" t="s">
        <v>65</v>
      </c>
      <c r="C142" s="378" t="s">
        <v>1389</v>
      </c>
      <c r="D142" s="409" t="s">
        <v>606</v>
      </c>
      <c r="E142" s="390">
        <v>46226</v>
      </c>
      <c r="F142" s="390">
        <v>46224</v>
      </c>
      <c r="G142" s="180" t="s">
        <v>576</v>
      </c>
      <c r="H142" s="336" t="s">
        <v>1390</v>
      </c>
      <c r="I142" s="336" t="s">
        <v>1391</v>
      </c>
      <c r="J142" s="337">
        <v>46235</v>
      </c>
      <c r="K142" s="336" t="s">
        <v>1390</v>
      </c>
      <c r="L142" s="336" t="s">
        <v>1391</v>
      </c>
      <c r="M142" s="336" t="s">
        <v>1392</v>
      </c>
      <c r="N142" s="336" t="s">
        <v>1393</v>
      </c>
      <c r="O142" s="188">
        <v>46236</v>
      </c>
      <c r="P142" s="194" t="s">
        <v>1394</v>
      </c>
      <c r="Q142" s="233"/>
      <c r="R142" s="231"/>
      <c r="S142" s="233">
        <f>O142+5</f>
        <v>46241</v>
      </c>
      <c r="T142" s="233">
        <f>O142+7</f>
        <v>46243</v>
      </c>
      <c r="U142" s="233">
        <f>O142+9</f>
        <v>46245</v>
      </c>
      <c r="V142" s="233">
        <f>O142+12</f>
        <v>46248</v>
      </c>
      <c r="W142" s="233">
        <f>O142+13</f>
        <v>46249</v>
      </c>
      <c r="X142" s="231"/>
      <c r="Y142" s="231"/>
      <c r="Z142" s="231"/>
      <c r="AA142" s="231"/>
      <c r="AB142" s="231"/>
      <c r="AC142" s="234"/>
      <c r="AD142" s="372"/>
    </row>
    <row r="143" spans="1:30" ht="25.5" hidden="1" customHeight="1">
      <c r="A143" s="501"/>
      <c r="B143" s="163" t="s">
        <v>204</v>
      </c>
      <c r="C143" s="164" t="s">
        <v>1395</v>
      </c>
      <c r="D143" s="167" t="s">
        <v>520</v>
      </c>
      <c r="E143" s="289">
        <v>46222</v>
      </c>
      <c r="F143" s="289">
        <v>46221</v>
      </c>
      <c r="G143" s="209" t="s">
        <v>521</v>
      </c>
      <c r="H143" s="186" t="s">
        <v>1396</v>
      </c>
      <c r="I143" s="186" t="s">
        <v>1396</v>
      </c>
      <c r="J143" s="188">
        <v>46227</v>
      </c>
      <c r="K143" s="186" t="s">
        <v>1396</v>
      </c>
      <c r="L143" s="186" t="s">
        <v>1396</v>
      </c>
      <c r="M143" s="186" t="s">
        <v>1397</v>
      </c>
      <c r="N143" s="336" t="s">
        <v>1398</v>
      </c>
      <c r="O143" s="337">
        <v>46228</v>
      </c>
      <c r="P143" s="194" t="s">
        <v>1399</v>
      </c>
      <c r="Q143" s="197">
        <f>O143+6</f>
        <v>46234</v>
      </c>
      <c r="R143" s="199">
        <f>O143+5</f>
        <v>46233</v>
      </c>
      <c r="S143" s="388" t="s">
        <v>599</v>
      </c>
      <c r="T143" s="200"/>
      <c r="U143" s="200"/>
      <c r="V143" s="200"/>
      <c r="W143" s="200"/>
      <c r="X143" s="202"/>
      <c r="Y143" s="200"/>
      <c r="Z143" s="200"/>
      <c r="AA143" s="200"/>
      <c r="AB143" s="200"/>
      <c r="AC143" s="234"/>
      <c r="AD143" s="205" t="s">
        <v>542</v>
      </c>
    </row>
    <row r="144" spans="1:30" ht="25.5" hidden="1" customHeight="1">
      <c r="A144" s="502"/>
      <c r="B144" s="249" t="s">
        <v>62</v>
      </c>
      <c r="C144" s="252" t="s">
        <v>1400</v>
      </c>
      <c r="D144" s="253" t="s">
        <v>1401</v>
      </c>
      <c r="E144" s="254">
        <v>46226</v>
      </c>
      <c r="F144" s="254">
        <v>46225</v>
      </c>
      <c r="G144" s="259" t="s">
        <v>664</v>
      </c>
      <c r="H144" s="186" t="s">
        <v>1402</v>
      </c>
      <c r="I144" s="186" t="s">
        <v>1403</v>
      </c>
      <c r="J144" s="188">
        <v>46232</v>
      </c>
      <c r="K144" s="186" t="s">
        <v>1402</v>
      </c>
      <c r="L144" s="186" t="s">
        <v>1403</v>
      </c>
      <c r="M144" s="186" t="s">
        <v>1404</v>
      </c>
      <c r="N144" s="186" t="s">
        <v>1405</v>
      </c>
      <c r="O144" s="188">
        <v>46233</v>
      </c>
      <c r="P144" s="261" t="s">
        <v>1406</v>
      </c>
      <c r="Q144" s="265"/>
      <c r="R144" s="264"/>
      <c r="S144" s="265">
        <f>O144+5</f>
        <v>46238</v>
      </c>
      <c r="T144" s="264"/>
      <c r="U144" s="264"/>
      <c r="V144" s="264"/>
      <c r="W144" s="265">
        <f>O144+8</f>
        <v>46241</v>
      </c>
      <c r="X144" s="265">
        <f>O144+9</f>
        <v>46242</v>
      </c>
      <c r="Y144" s="264"/>
      <c r="Z144" s="264"/>
      <c r="AA144" s="264"/>
      <c r="AB144" s="264"/>
      <c r="AC144" s="264"/>
      <c r="AD144" s="267"/>
    </row>
    <row r="145" spans="1:30" ht="25.5" hidden="1" customHeight="1">
      <c r="A145" s="507">
        <v>30</v>
      </c>
      <c r="B145" s="377" t="s">
        <v>535</v>
      </c>
      <c r="C145" s="378" t="s">
        <v>1407</v>
      </c>
      <c r="D145" s="379" t="s">
        <v>1094</v>
      </c>
      <c r="E145" s="374"/>
      <c r="F145" s="390">
        <v>46219</v>
      </c>
      <c r="G145" s="391" t="s">
        <v>1041</v>
      </c>
      <c r="H145" s="336"/>
      <c r="I145" s="336"/>
      <c r="J145" s="337"/>
      <c r="K145" s="336" t="s">
        <v>1408</v>
      </c>
      <c r="L145" s="336" t="s">
        <v>1409</v>
      </c>
      <c r="M145" s="336" t="s">
        <v>1396</v>
      </c>
      <c r="N145" s="336" t="s">
        <v>1410</v>
      </c>
      <c r="O145" s="337">
        <v>46228</v>
      </c>
      <c r="P145" s="194" t="s">
        <v>1411</v>
      </c>
      <c r="Q145" s="389"/>
      <c r="R145" s="200"/>
      <c r="S145" s="200"/>
      <c r="T145" s="200"/>
      <c r="U145" s="200"/>
      <c r="V145" s="200"/>
      <c r="W145" s="200"/>
      <c r="X145" s="202"/>
      <c r="Y145" s="199">
        <f>O145+4</f>
        <v>46232</v>
      </c>
      <c r="Z145" s="199">
        <f>O145+6</f>
        <v>46234</v>
      </c>
      <c r="AA145" s="199">
        <f>O145+14</f>
        <v>46242</v>
      </c>
      <c r="AB145" s="199">
        <f>O145+16</f>
        <v>46244</v>
      </c>
      <c r="AC145" s="199">
        <f>O145+18</f>
        <v>46246</v>
      </c>
      <c r="AD145" s="205" t="s">
        <v>1046</v>
      </c>
    </row>
    <row r="146" spans="1:30" ht="25.5" hidden="1" customHeight="1">
      <c r="A146" s="501"/>
      <c r="B146" s="222" t="s">
        <v>65</v>
      </c>
      <c r="C146" s="164" t="s">
        <v>1412</v>
      </c>
      <c r="D146" s="223" t="s">
        <v>606</v>
      </c>
      <c r="E146" s="170">
        <v>46235</v>
      </c>
      <c r="F146" s="170">
        <v>46234</v>
      </c>
      <c r="G146" s="180" t="s">
        <v>576</v>
      </c>
      <c r="H146" s="186" t="s">
        <v>1413</v>
      </c>
      <c r="I146" s="186" t="s">
        <v>1414</v>
      </c>
      <c r="J146" s="188">
        <v>46243</v>
      </c>
      <c r="K146" s="186" t="s">
        <v>1413</v>
      </c>
      <c r="L146" s="186" t="s">
        <v>1414</v>
      </c>
      <c r="M146" s="186" t="s">
        <v>1415</v>
      </c>
      <c r="N146" s="186" t="s">
        <v>1416</v>
      </c>
      <c r="O146" s="188">
        <v>46244</v>
      </c>
      <c r="P146" s="194" t="s">
        <v>1417</v>
      </c>
      <c r="Q146" s="233"/>
      <c r="R146" s="231"/>
      <c r="S146" s="233">
        <f>O146+5</f>
        <v>46249</v>
      </c>
      <c r="T146" s="233">
        <f>O146+7</f>
        <v>46251</v>
      </c>
      <c r="U146" s="233">
        <f>O146+9</f>
        <v>46253</v>
      </c>
      <c r="V146" s="233">
        <f>O146+12</f>
        <v>46256</v>
      </c>
      <c r="W146" s="388" t="s">
        <v>599</v>
      </c>
      <c r="X146" s="231"/>
      <c r="Y146" s="231"/>
      <c r="Z146" s="231"/>
      <c r="AA146" s="231"/>
      <c r="AB146" s="231"/>
      <c r="AC146" s="234"/>
      <c r="AD146" s="372"/>
    </row>
    <row r="147" spans="1:30" ht="25.5" hidden="1" customHeight="1">
      <c r="A147" s="501"/>
      <c r="B147" s="163" t="s">
        <v>454</v>
      </c>
      <c r="C147" s="164" t="s">
        <v>1418</v>
      </c>
      <c r="D147" s="167" t="s">
        <v>478</v>
      </c>
      <c r="E147" s="289">
        <v>46226</v>
      </c>
      <c r="F147" s="289">
        <v>46225</v>
      </c>
      <c r="G147" s="180" t="s">
        <v>482</v>
      </c>
      <c r="H147" s="186" t="s">
        <v>1402</v>
      </c>
      <c r="I147" s="186" t="s">
        <v>1419</v>
      </c>
      <c r="J147" s="188">
        <v>46232</v>
      </c>
      <c r="K147" s="186" t="s">
        <v>1402</v>
      </c>
      <c r="L147" s="186" t="s">
        <v>1419</v>
      </c>
      <c r="M147" s="186" t="s">
        <v>1420</v>
      </c>
      <c r="N147" s="186" t="s">
        <v>1421</v>
      </c>
      <c r="O147" s="188">
        <v>46233</v>
      </c>
      <c r="P147" s="194" t="s">
        <v>1422</v>
      </c>
      <c r="Q147" s="197">
        <f>O147+4</f>
        <v>46237</v>
      </c>
      <c r="R147" s="199">
        <f>O147+5</f>
        <v>46238</v>
      </c>
      <c r="S147" s="200"/>
      <c r="T147" s="200"/>
      <c r="U147" s="200"/>
      <c r="V147" s="200"/>
      <c r="W147" s="200"/>
      <c r="X147" s="202"/>
      <c r="Y147" s="200"/>
      <c r="Z147" s="200"/>
      <c r="AA147" s="200"/>
      <c r="AB147" s="200"/>
      <c r="AC147" s="200"/>
      <c r="AD147" s="205" t="s">
        <v>755</v>
      </c>
    </row>
    <row r="148" spans="1:30" ht="25.5" hidden="1" customHeight="1">
      <c r="A148" s="501"/>
      <c r="B148" s="432" t="s">
        <v>204</v>
      </c>
      <c r="C148" s="421" t="s">
        <v>1423</v>
      </c>
      <c r="D148" s="433" t="s">
        <v>520</v>
      </c>
      <c r="E148" s="509" t="s">
        <v>1424</v>
      </c>
      <c r="F148" s="510"/>
      <c r="G148" s="510"/>
      <c r="H148" s="510"/>
      <c r="I148" s="510"/>
      <c r="J148" s="510"/>
      <c r="K148" s="510"/>
      <c r="L148" s="510"/>
      <c r="M148" s="510"/>
      <c r="N148" s="510"/>
      <c r="O148" s="510"/>
      <c r="P148" s="511"/>
      <c r="Q148" s="434"/>
      <c r="R148" s="435"/>
      <c r="S148" s="435"/>
      <c r="T148" s="435"/>
      <c r="U148" s="435"/>
      <c r="V148" s="435"/>
      <c r="W148" s="435"/>
      <c r="X148" s="436"/>
      <c r="Y148" s="435"/>
      <c r="Z148" s="435"/>
      <c r="AA148" s="435"/>
      <c r="AB148" s="435"/>
      <c r="AC148" s="437"/>
      <c r="AD148" s="438"/>
    </row>
    <row r="149" spans="1:30" ht="25.5" hidden="1" customHeight="1">
      <c r="A149" s="502"/>
      <c r="B149" s="332" t="s">
        <v>62</v>
      </c>
      <c r="C149" s="333" t="s">
        <v>1425</v>
      </c>
      <c r="D149" s="334" t="s">
        <v>606</v>
      </c>
      <c r="E149" s="335">
        <v>46229</v>
      </c>
      <c r="F149" s="335">
        <v>46228</v>
      </c>
      <c r="G149" s="259" t="s">
        <v>576</v>
      </c>
      <c r="H149" s="186" t="s">
        <v>1426</v>
      </c>
      <c r="I149" s="186" t="s">
        <v>1427</v>
      </c>
      <c r="J149" s="188">
        <v>46234</v>
      </c>
      <c r="K149" s="186" t="s">
        <v>1426</v>
      </c>
      <c r="L149" s="186" t="s">
        <v>1427</v>
      </c>
      <c r="M149" s="186" t="s">
        <v>1428</v>
      </c>
      <c r="N149" s="186" t="s">
        <v>1429</v>
      </c>
      <c r="O149" s="188">
        <v>46235</v>
      </c>
      <c r="P149" s="261" t="s">
        <v>1430</v>
      </c>
      <c r="Q149" s="265"/>
      <c r="R149" s="264"/>
      <c r="S149" s="265">
        <f>O149+5</f>
        <v>46240</v>
      </c>
      <c r="T149" s="264"/>
      <c r="U149" s="264"/>
      <c r="V149" s="265"/>
      <c r="W149" s="265">
        <f>O149+8</f>
        <v>46243</v>
      </c>
      <c r="X149" s="265">
        <f>W149+1</f>
        <v>46244</v>
      </c>
      <c r="Y149" s="264"/>
      <c r="Z149" s="264"/>
      <c r="AA149" s="264"/>
      <c r="AB149" s="264"/>
      <c r="AC149" s="264"/>
      <c r="AD149" s="267"/>
    </row>
    <row r="150" spans="1:30" ht="25.5" hidden="1" customHeight="1">
      <c r="A150" s="507">
        <v>31</v>
      </c>
      <c r="B150" s="163" t="s">
        <v>204</v>
      </c>
      <c r="C150" s="164" t="s">
        <v>1431</v>
      </c>
      <c r="D150" s="167" t="s">
        <v>1337</v>
      </c>
      <c r="E150" s="288"/>
      <c r="F150" s="170">
        <v>46234</v>
      </c>
      <c r="G150" s="209" t="s">
        <v>521</v>
      </c>
      <c r="H150" s="186"/>
      <c r="I150" s="186"/>
      <c r="J150" s="186" t="s">
        <v>599</v>
      </c>
      <c r="K150" s="186" t="s">
        <v>1432</v>
      </c>
      <c r="L150" s="186" t="s">
        <v>1433</v>
      </c>
      <c r="M150" s="186" t="s">
        <v>1433</v>
      </c>
      <c r="N150" s="186" t="s">
        <v>1434</v>
      </c>
      <c r="O150" s="188">
        <v>46243</v>
      </c>
      <c r="P150" s="194" t="s">
        <v>1435</v>
      </c>
      <c r="Q150" s="197">
        <f>O150+5</f>
        <v>46248</v>
      </c>
      <c r="R150" s="199">
        <f>O150+6</f>
        <v>46249</v>
      </c>
      <c r="S150" s="388" t="s">
        <v>599</v>
      </c>
      <c r="T150" s="200"/>
      <c r="U150" s="200"/>
      <c r="V150" s="200"/>
      <c r="W150" s="200"/>
      <c r="X150" s="202"/>
      <c r="Y150" s="200"/>
      <c r="Z150" s="200"/>
      <c r="AA150" s="200"/>
      <c r="AB150" s="200"/>
      <c r="AC150" s="234"/>
      <c r="AD150" s="205" t="s">
        <v>542</v>
      </c>
    </row>
    <row r="151" spans="1:30" ht="25.5" hidden="1" customHeight="1">
      <c r="A151" s="501"/>
      <c r="B151" s="163" t="s">
        <v>454</v>
      </c>
      <c r="C151" s="164" t="s">
        <v>1436</v>
      </c>
      <c r="D151" s="167" t="s">
        <v>478</v>
      </c>
      <c r="E151" s="289">
        <v>46233</v>
      </c>
      <c r="F151" s="289">
        <v>46231</v>
      </c>
      <c r="G151" s="180" t="s">
        <v>482</v>
      </c>
      <c r="H151" s="186" t="s">
        <v>1437</v>
      </c>
      <c r="I151" s="186" t="s">
        <v>1438</v>
      </c>
      <c r="J151" s="188">
        <v>46239</v>
      </c>
      <c r="K151" s="186" t="s">
        <v>1437</v>
      </c>
      <c r="L151" s="186" t="s">
        <v>1438</v>
      </c>
      <c r="M151" s="186" t="s">
        <v>1439</v>
      </c>
      <c r="N151" s="336" t="s">
        <v>1440</v>
      </c>
      <c r="O151" s="337">
        <v>46239</v>
      </c>
      <c r="P151" s="194" t="s">
        <v>1441</v>
      </c>
      <c r="Q151" s="197">
        <f>O151+4</f>
        <v>46243</v>
      </c>
      <c r="R151" s="199">
        <f>O151+5</f>
        <v>46244</v>
      </c>
      <c r="S151" s="199">
        <f>O151+6</f>
        <v>46245</v>
      </c>
      <c r="T151" s="200"/>
      <c r="U151" s="200"/>
      <c r="V151" s="200"/>
      <c r="W151" s="200"/>
      <c r="X151" s="202"/>
      <c r="Y151" s="200"/>
      <c r="Z151" s="200"/>
      <c r="AA151" s="200"/>
      <c r="AB151" s="200"/>
      <c r="AC151" s="234"/>
      <c r="AD151" s="205"/>
    </row>
    <row r="152" spans="1:30" ht="25.5" hidden="1" customHeight="1">
      <c r="A152" s="502"/>
      <c r="B152" s="249" t="s">
        <v>65</v>
      </c>
      <c r="C152" s="252" t="s">
        <v>1442</v>
      </c>
      <c r="D152" s="253" t="s">
        <v>606</v>
      </c>
      <c r="E152" s="254">
        <v>46239</v>
      </c>
      <c r="F152" s="254">
        <v>46238</v>
      </c>
      <c r="G152" s="259" t="s">
        <v>576</v>
      </c>
      <c r="H152" s="186" t="s">
        <v>1443</v>
      </c>
      <c r="I152" s="186" t="s">
        <v>1444</v>
      </c>
      <c r="J152" s="188">
        <v>46246</v>
      </c>
      <c r="K152" s="186" t="s">
        <v>1443</v>
      </c>
      <c r="L152" s="186" t="s">
        <v>1444</v>
      </c>
      <c r="M152" s="186" t="s">
        <v>1445</v>
      </c>
      <c r="N152" s="186" t="s">
        <v>1446</v>
      </c>
      <c r="O152" s="188">
        <v>46247</v>
      </c>
      <c r="P152" s="261" t="s">
        <v>1447</v>
      </c>
      <c r="Q152" s="265"/>
      <c r="R152" s="264"/>
      <c r="S152" s="265">
        <f>O152+5</f>
        <v>46252</v>
      </c>
      <c r="T152" s="265">
        <f>O152+7</f>
        <v>46254</v>
      </c>
      <c r="U152" s="265">
        <f>O152+9</f>
        <v>46256</v>
      </c>
      <c r="V152" s="265">
        <f>O152+10</f>
        <v>46257</v>
      </c>
      <c r="W152" s="439" t="s">
        <v>599</v>
      </c>
      <c r="X152" s="265"/>
      <c r="Y152" s="264"/>
      <c r="Z152" s="264"/>
      <c r="AA152" s="264"/>
      <c r="AB152" s="264"/>
      <c r="AC152" s="264"/>
      <c r="AD152" s="267"/>
    </row>
    <row r="153" spans="1:30" ht="25.5" hidden="1" customHeight="1">
      <c r="A153" s="507">
        <v>32</v>
      </c>
      <c r="B153" s="163" t="s">
        <v>454</v>
      </c>
      <c r="C153" s="164" t="s">
        <v>1448</v>
      </c>
      <c r="D153" s="167" t="s">
        <v>478</v>
      </c>
      <c r="E153" s="288">
        <v>46243</v>
      </c>
      <c r="F153" s="289">
        <v>46242</v>
      </c>
      <c r="G153" s="180" t="s">
        <v>482</v>
      </c>
      <c r="H153" s="186" t="s">
        <v>1449</v>
      </c>
      <c r="I153" s="186" t="s">
        <v>1450</v>
      </c>
      <c r="J153" s="188">
        <v>46250</v>
      </c>
      <c r="K153" s="186" t="s">
        <v>1449</v>
      </c>
      <c r="L153" s="186" t="s">
        <v>1450</v>
      </c>
      <c r="M153" s="186" t="s">
        <v>1450</v>
      </c>
      <c r="N153" s="186" t="s">
        <v>1451</v>
      </c>
      <c r="O153" s="188">
        <v>46251</v>
      </c>
      <c r="P153" s="194" t="s">
        <v>1452</v>
      </c>
      <c r="Q153" s="197">
        <f>O153+4</f>
        <v>46255</v>
      </c>
      <c r="R153" s="199">
        <f>O153+5</f>
        <v>46256</v>
      </c>
      <c r="S153" s="200"/>
      <c r="T153" s="200"/>
      <c r="U153" s="200"/>
      <c r="V153" s="200"/>
      <c r="W153" s="200"/>
      <c r="X153" s="202"/>
      <c r="Y153" s="200"/>
      <c r="Z153" s="200"/>
      <c r="AA153" s="200"/>
      <c r="AB153" s="200"/>
      <c r="AC153" s="200"/>
      <c r="AD153" s="205" t="s">
        <v>755</v>
      </c>
    </row>
    <row r="154" spans="1:30" ht="25.5" hidden="1" customHeight="1">
      <c r="A154" s="501"/>
      <c r="B154" s="163" t="s">
        <v>204</v>
      </c>
      <c r="C154" s="164" t="s">
        <v>1453</v>
      </c>
      <c r="D154" s="167" t="s">
        <v>520</v>
      </c>
      <c r="E154" s="289">
        <v>46242</v>
      </c>
      <c r="F154" s="289">
        <v>46241</v>
      </c>
      <c r="G154" s="209" t="s">
        <v>521</v>
      </c>
      <c r="H154" s="186" t="s">
        <v>1454</v>
      </c>
      <c r="I154" s="186" t="s">
        <v>1454</v>
      </c>
      <c r="J154" s="188">
        <v>46250</v>
      </c>
      <c r="K154" s="186" t="s">
        <v>1454</v>
      </c>
      <c r="L154" s="186" t="s">
        <v>1454</v>
      </c>
      <c r="M154" s="186" t="s">
        <v>1455</v>
      </c>
      <c r="N154" s="186" t="s">
        <v>1456</v>
      </c>
      <c r="O154" s="188">
        <v>46250</v>
      </c>
      <c r="P154" s="194" t="s">
        <v>1457</v>
      </c>
      <c r="Q154" s="197">
        <f>O154+5</f>
        <v>46255</v>
      </c>
      <c r="R154" s="199">
        <f>O154+6</f>
        <v>46256</v>
      </c>
      <c r="S154" s="200"/>
      <c r="T154" s="200"/>
      <c r="U154" s="200"/>
      <c r="V154" s="200"/>
      <c r="W154" s="200"/>
      <c r="X154" s="202"/>
      <c r="Y154" s="200"/>
      <c r="Z154" s="200"/>
      <c r="AA154" s="200"/>
      <c r="AB154" s="200"/>
      <c r="AC154" s="234"/>
      <c r="AD154" s="205"/>
    </row>
    <row r="155" spans="1:30" ht="25.5" hidden="1" customHeight="1">
      <c r="A155" s="501"/>
      <c r="B155" s="222" t="s">
        <v>65</v>
      </c>
      <c r="C155" s="164" t="s">
        <v>1458</v>
      </c>
      <c r="D155" s="223" t="s">
        <v>606</v>
      </c>
      <c r="E155" s="170">
        <v>46254</v>
      </c>
      <c r="F155" s="170">
        <v>46253</v>
      </c>
      <c r="G155" s="180" t="s">
        <v>576</v>
      </c>
      <c r="H155" s="186" t="s">
        <v>1459</v>
      </c>
      <c r="I155" s="186" t="s">
        <v>1460</v>
      </c>
      <c r="J155" s="188">
        <v>46260</v>
      </c>
      <c r="K155" s="186" t="s">
        <v>1461</v>
      </c>
      <c r="L155" s="186" t="s">
        <v>1460</v>
      </c>
      <c r="M155" s="186" t="s">
        <v>1462</v>
      </c>
      <c r="N155" s="186" t="s">
        <v>1463</v>
      </c>
      <c r="O155" s="188">
        <v>46261</v>
      </c>
      <c r="P155" s="194" t="s">
        <v>1464</v>
      </c>
      <c r="Q155" s="233"/>
      <c r="R155" s="231"/>
      <c r="S155" s="233">
        <f t="shared" ref="S155:S156" si="28">O155+5</f>
        <v>46266</v>
      </c>
      <c r="T155" s="233">
        <f>O155+7</f>
        <v>46268</v>
      </c>
      <c r="U155" s="233">
        <f>O155+9</f>
        <v>46270</v>
      </c>
      <c r="V155" s="233">
        <f>O155+12</f>
        <v>46273</v>
      </c>
      <c r="W155" s="388" t="s">
        <v>599</v>
      </c>
      <c r="X155" s="231"/>
      <c r="Y155" s="231"/>
      <c r="Z155" s="231"/>
      <c r="AA155" s="231"/>
      <c r="AB155" s="231"/>
      <c r="AC155" s="234"/>
      <c r="AD155" s="205" t="s">
        <v>1465</v>
      </c>
    </row>
    <row r="156" spans="1:30" ht="25.5" hidden="1" customHeight="1">
      <c r="A156" s="502"/>
      <c r="B156" s="249" t="s">
        <v>62</v>
      </c>
      <c r="C156" s="252" t="s">
        <v>1466</v>
      </c>
      <c r="D156" s="253" t="s">
        <v>606</v>
      </c>
      <c r="E156" s="254">
        <v>46239</v>
      </c>
      <c r="F156" s="254">
        <v>46238</v>
      </c>
      <c r="G156" s="259" t="s">
        <v>576</v>
      </c>
      <c r="H156" s="186" t="s">
        <v>1467</v>
      </c>
      <c r="I156" s="186" t="s">
        <v>1468</v>
      </c>
      <c r="J156" s="188">
        <v>46244</v>
      </c>
      <c r="K156" s="186" t="s">
        <v>1467</v>
      </c>
      <c r="L156" s="186" t="s">
        <v>1468</v>
      </c>
      <c r="M156" s="186" t="s">
        <v>1469</v>
      </c>
      <c r="N156" s="336" t="s">
        <v>1470</v>
      </c>
      <c r="O156" s="337">
        <v>46246</v>
      </c>
      <c r="P156" s="261" t="s">
        <v>1471</v>
      </c>
      <c r="Q156" s="265"/>
      <c r="R156" s="264"/>
      <c r="S156" s="265">
        <f t="shared" si="28"/>
        <v>46251</v>
      </c>
      <c r="T156" s="264"/>
      <c r="U156" s="264"/>
      <c r="V156" s="264"/>
      <c r="W156" s="265">
        <f>O156+8</f>
        <v>46254</v>
      </c>
      <c r="X156" s="265">
        <f>O156+9</f>
        <v>46255</v>
      </c>
      <c r="Y156" s="264"/>
      <c r="Z156" s="264"/>
      <c r="AA156" s="264"/>
      <c r="AB156" s="264"/>
      <c r="AC156" s="264"/>
      <c r="AD156" s="267"/>
    </row>
    <row r="157" spans="1:30" ht="25.5" hidden="1" customHeight="1">
      <c r="A157" s="507">
        <v>33</v>
      </c>
      <c r="B157" s="377" t="s">
        <v>1108</v>
      </c>
      <c r="C157" s="378" t="s">
        <v>1472</v>
      </c>
      <c r="D157" s="379" t="s">
        <v>1473</v>
      </c>
      <c r="E157" s="374"/>
      <c r="F157" s="390">
        <v>46243</v>
      </c>
      <c r="G157" s="180" t="s">
        <v>1111</v>
      </c>
      <c r="H157" s="336"/>
      <c r="I157" s="336"/>
      <c r="J157" s="337"/>
      <c r="K157" s="336" t="s">
        <v>1474</v>
      </c>
      <c r="L157" s="336" t="s">
        <v>46</v>
      </c>
      <c r="M157" s="336" t="s">
        <v>1475</v>
      </c>
      <c r="N157" s="336" t="s">
        <v>46</v>
      </c>
      <c r="O157" s="337">
        <v>46249</v>
      </c>
      <c r="P157" s="407"/>
      <c r="Q157" s="389"/>
      <c r="R157" s="200"/>
      <c r="S157" s="200"/>
      <c r="T157" s="200"/>
      <c r="U157" s="200"/>
      <c r="V157" s="200"/>
      <c r="W157" s="200"/>
      <c r="X157" s="202"/>
      <c r="Y157" s="200"/>
      <c r="Z157" s="200"/>
      <c r="AA157" s="199">
        <f>O157+12</f>
        <v>46261</v>
      </c>
      <c r="AB157" s="200"/>
      <c r="AC157" s="200"/>
      <c r="AD157" s="205"/>
    </row>
    <row r="158" spans="1:30" ht="25.5" hidden="1" customHeight="1">
      <c r="A158" s="501"/>
      <c r="B158" s="163" t="s">
        <v>535</v>
      </c>
      <c r="C158" s="164" t="s">
        <v>1476</v>
      </c>
      <c r="D158" s="167" t="s">
        <v>1094</v>
      </c>
      <c r="E158" s="288"/>
      <c r="F158" s="289">
        <v>46248</v>
      </c>
      <c r="G158" s="180" t="s">
        <v>1041</v>
      </c>
      <c r="H158" s="186"/>
      <c r="I158" s="186"/>
      <c r="J158" s="188"/>
      <c r="K158" s="186" t="s">
        <v>1477</v>
      </c>
      <c r="L158" s="186" t="s">
        <v>1477</v>
      </c>
      <c r="M158" s="186" t="s">
        <v>1478</v>
      </c>
      <c r="N158" s="186" t="s">
        <v>1478</v>
      </c>
      <c r="O158" s="188">
        <v>46255</v>
      </c>
      <c r="P158" s="194" t="s">
        <v>1479</v>
      </c>
      <c r="Q158" s="389"/>
      <c r="R158" s="200"/>
      <c r="S158" s="200"/>
      <c r="T158" s="200"/>
      <c r="U158" s="200"/>
      <c r="V158" s="200"/>
      <c r="W158" s="200"/>
      <c r="X158" s="202"/>
      <c r="Y158" s="388" t="s">
        <v>599</v>
      </c>
      <c r="Z158" s="199">
        <f>O158+6</f>
        <v>46261</v>
      </c>
      <c r="AA158" s="199">
        <f>O158+14</f>
        <v>46269</v>
      </c>
      <c r="AB158" s="199">
        <f>O158+16</f>
        <v>46271</v>
      </c>
      <c r="AC158" s="199">
        <f>O158+18</f>
        <v>46273</v>
      </c>
      <c r="AD158" s="205" t="s">
        <v>1046</v>
      </c>
    </row>
    <row r="159" spans="1:30" ht="25.5" hidden="1" customHeight="1">
      <c r="A159" s="501"/>
      <c r="B159" s="163" t="s">
        <v>204</v>
      </c>
      <c r="C159" s="164" t="s">
        <v>1480</v>
      </c>
      <c r="D159" s="167" t="s">
        <v>520</v>
      </c>
      <c r="E159" s="289">
        <v>46252</v>
      </c>
      <c r="F159" s="289">
        <v>46250</v>
      </c>
      <c r="G159" s="209" t="s">
        <v>521</v>
      </c>
      <c r="H159" s="186" t="s">
        <v>1481</v>
      </c>
      <c r="I159" s="186" t="s">
        <v>1482</v>
      </c>
      <c r="J159" s="188">
        <v>46257</v>
      </c>
      <c r="K159" s="186" t="s">
        <v>1481</v>
      </c>
      <c r="L159" s="186" t="s">
        <v>1482</v>
      </c>
      <c r="M159" s="186" t="s">
        <v>1461</v>
      </c>
      <c r="N159" s="186" t="s">
        <v>1483</v>
      </c>
      <c r="O159" s="188">
        <v>46258</v>
      </c>
      <c r="P159" s="194" t="s">
        <v>1484</v>
      </c>
      <c r="Q159" s="197">
        <f>O159+5</f>
        <v>46263</v>
      </c>
      <c r="R159" s="199">
        <f>O159+6</f>
        <v>46264</v>
      </c>
      <c r="S159" s="388" t="s">
        <v>599</v>
      </c>
      <c r="T159" s="200"/>
      <c r="U159" s="200"/>
      <c r="V159" s="200"/>
      <c r="W159" s="200"/>
      <c r="X159" s="202"/>
      <c r="Y159" s="200"/>
      <c r="Z159" s="200"/>
      <c r="AA159" s="200"/>
      <c r="AB159" s="200"/>
      <c r="AC159" s="234"/>
      <c r="AD159" s="205" t="s">
        <v>542</v>
      </c>
    </row>
    <row r="160" spans="1:30" ht="25.5" hidden="1" customHeight="1">
      <c r="A160" s="501"/>
      <c r="B160" s="222" t="s">
        <v>65</v>
      </c>
      <c r="C160" s="164" t="s">
        <v>1485</v>
      </c>
      <c r="D160" s="223" t="s">
        <v>1486</v>
      </c>
      <c r="E160" s="170">
        <v>46261</v>
      </c>
      <c r="F160" s="170">
        <v>46260</v>
      </c>
      <c r="G160" s="180" t="s">
        <v>664</v>
      </c>
      <c r="H160" s="186" t="s">
        <v>1487</v>
      </c>
      <c r="I160" s="186" t="s">
        <v>1488</v>
      </c>
      <c r="J160" s="188">
        <v>46266</v>
      </c>
      <c r="K160" s="186" t="s">
        <v>1487</v>
      </c>
      <c r="L160" s="186" t="s">
        <v>1488</v>
      </c>
      <c r="M160" s="186" t="s">
        <v>1489</v>
      </c>
      <c r="N160" s="186" t="s">
        <v>1490</v>
      </c>
      <c r="O160" s="188">
        <v>46266</v>
      </c>
      <c r="P160" s="194" t="s">
        <v>1491</v>
      </c>
      <c r="Q160" s="233"/>
      <c r="R160" s="231"/>
      <c r="S160" s="233">
        <f t="shared" ref="S160:S162" si="29">O160+5</f>
        <v>46271</v>
      </c>
      <c r="T160" s="233">
        <f>O160+7</f>
        <v>46273</v>
      </c>
      <c r="U160" s="233">
        <f>O160+9</f>
        <v>46275</v>
      </c>
      <c r="V160" s="233">
        <f>O160+12</f>
        <v>46278</v>
      </c>
      <c r="W160" s="233">
        <f>O160+13</f>
        <v>46279</v>
      </c>
      <c r="X160" s="231"/>
      <c r="Y160" s="231"/>
      <c r="Z160" s="231"/>
      <c r="AA160" s="231"/>
      <c r="AB160" s="231"/>
      <c r="AC160" s="234"/>
      <c r="AD160" s="365"/>
    </row>
    <row r="161" spans="1:30" ht="25.5" hidden="1" customHeight="1">
      <c r="A161" s="502"/>
      <c r="B161" s="249" t="s">
        <v>62</v>
      </c>
      <c r="C161" s="252" t="s">
        <v>1492</v>
      </c>
      <c r="D161" s="253" t="s">
        <v>606</v>
      </c>
      <c r="E161" s="254">
        <v>46248</v>
      </c>
      <c r="F161" s="254">
        <v>46247</v>
      </c>
      <c r="G161" s="259" t="s">
        <v>576</v>
      </c>
      <c r="H161" s="186" t="s">
        <v>1493</v>
      </c>
      <c r="I161" s="186" t="s">
        <v>1494</v>
      </c>
      <c r="J161" s="188">
        <v>46261</v>
      </c>
      <c r="K161" s="186" t="s">
        <v>1493</v>
      </c>
      <c r="L161" s="186" t="s">
        <v>1494</v>
      </c>
      <c r="M161" s="186" t="s">
        <v>1495</v>
      </c>
      <c r="N161" s="186" t="s">
        <v>1496</v>
      </c>
      <c r="O161" s="188">
        <v>46262</v>
      </c>
      <c r="P161" s="261" t="s">
        <v>1497</v>
      </c>
      <c r="Q161" s="265"/>
      <c r="R161" s="264"/>
      <c r="S161" s="265">
        <f t="shared" si="29"/>
        <v>46267</v>
      </c>
      <c r="T161" s="264"/>
      <c r="U161" s="264"/>
      <c r="V161" s="264"/>
      <c r="W161" s="265">
        <f>O161+9</f>
        <v>46271</v>
      </c>
      <c r="X161" s="265">
        <f>O161+11</f>
        <v>46273</v>
      </c>
      <c r="Y161" s="264"/>
      <c r="Z161" s="264"/>
      <c r="AA161" s="264"/>
      <c r="AB161" s="264"/>
      <c r="AC161" s="264"/>
      <c r="AD161" s="267"/>
    </row>
    <row r="162" spans="1:30" ht="25.5" hidden="1" customHeight="1">
      <c r="A162" s="440">
        <v>34</v>
      </c>
      <c r="B162" s="249" t="s">
        <v>62</v>
      </c>
      <c r="C162" s="252" t="s">
        <v>1498</v>
      </c>
      <c r="D162" s="253" t="s">
        <v>606</v>
      </c>
      <c r="E162" s="254">
        <v>46257</v>
      </c>
      <c r="F162" s="254">
        <v>46256</v>
      </c>
      <c r="G162" s="259" t="s">
        <v>576</v>
      </c>
      <c r="H162" s="186" t="s">
        <v>1499</v>
      </c>
      <c r="I162" s="186" t="s">
        <v>1500</v>
      </c>
      <c r="J162" s="188">
        <v>46262</v>
      </c>
      <c r="K162" s="186" t="s">
        <v>1499</v>
      </c>
      <c r="L162" s="186" t="s">
        <v>1500</v>
      </c>
      <c r="M162" s="186" t="s">
        <v>1501</v>
      </c>
      <c r="N162" s="186" t="s">
        <v>1502</v>
      </c>
      <c r="O162" s="188">
        <v>46263</v>
      </c>
      <c r="P162" s="261" t="s">
        <v>1503</v>
      </c>
      <c r="Q162" s="265"/>
      <c r="R162" s="264"/>
      <c r="S162" s="265">
        <f t="shared" si="29"/>
        <v>46268</v>
      </c>
      <c r="T162" s="265">
        <f>O162+6</f>
        <v>46269</v>
      </c>
      <c r="U162" s="264"/>
      <c r="V162" s="265"/>
      <c r="W162" s="441" t="s">
        <v>599</v>
      </c>
      <c r="X162" s="441" t="s">
        <v>599</v>
      </c>
      <c r="Y162" s="264"/>
      <c r="Z162" s="264"/>
      <c r="AA162" s="264"/>
      <c r="AB162" s="264"/>
      <c r="AC162" s="264"/>
      <c r="AD162" s="267"/>
    </row>
    <row r="163" spans="1:30" ht="25.5" hidden="1" customHeight="1">
      <c r="A163" s="518">
        <v>35</v>
      </c>
      <c r="B163" s="163" t="s">
        <v>535</v>
      </c>
      <c r="C163" s="164" t="s">
        <v>1504</v>
      </c>
      <c r="D163" s="167" t="s">
        <v>1094</v>
      </c>
      <c r="E163" s="288"/>
      <c r="F163" s="289">
        <v>46252</v>
      </c>
      <c r="G163" s="180" t="s">
        <v>1041</v>
      </c>
      <c r="H163" s="186"/>
      <c r="I163" s="186"/>
      <c r="J163" s="188"/>
      <c r="K163" s="186" t="s">
        <v>1481</v>
      </c>
      <c r="L163" s="186" t="s">
        <v>1505</v>
      </c>
      <c r="M163" s="186" t="s">
        <v>1506</v>
      </c>
      <c r="N163" s="186" t="s">
        <v>1507</v>
      </c>
      <c r="O163" s="188">
        <v>46259</v>
      </c>
      <c r="P163" s="194" t="s">
        <v>1508</v>
      </c>
      <c r="Q163" s="389"/>
      <c r="R163" s="200"/>
      <c r="S163" s="200"/>
      <c r="T163" s="200"/>
      <c r="U163" s="200"/>
      <c r="V163" s="200"/>
      <c r="W163" s="200"/>
      <c r="X163" s="202"/>
      <c r="Y163" s="199">
        <f>O163+4</f>
        <v>46263</v>
      </c>
      <c r="Z163" s="199">
        <f>O163+6</f>
        <v>46265</v>
      </c>
      <c r="AA163" s="199">
        <f>O163+14</f>
        <v>46273</v>
      </c>
      <c r="AB163" s="199">
        <f>O163+16</f>
        <v>46275</v>
      </c>
      <c r="AC163" s="199">
        <f>O163+18</f>
        <v>46277</v>
      </c>
      <c r="AD163" s="205" t="s">
        <v>1046</v>
      </c>
    </row>
    <row r="164" spans="1:30" ht="25.5" hidden="1" customHeight="1">
      <c r="A164" s="501"/>
      <c r="B164" s="163" t="s">
        <v>204</v>
      </c>
      <c r="C164" s="164" t="s">
        <v>1509</v>
      </c>
      <c r="D164" s="167" t="s">
        <v>520</v>
      </c>
      <c r="E164" s="288">
        <v>46267</v>
      </c>
      <c r="F164" s="289">
        <v>46266</v>
      </c>
      <c r="G164" s="209" t="s">
        <v>521</v>
      </c>
      <c r="H164" s="186" t="s">
        <v>1510</v>
      </c>
      <c r="I164" s="186" t="s">
        <v>1511</v>
      </c>
      <c r="J164" s="188">
        <v>46271</v>
      </c>
      <c r="K164" s="186" t="s">
        <v>1510</v>
      </c>
      <c r="L164" s="186" t="s">
        <v>1511</v>
      </c>
      <c r="M164" s="186" t="s">
        <v>1512</v>
      </c>
      <c r="N164" s="186" t="s">
        <v>1513</v>
      </c>
      <c r="O164" s="188">
        <v>46271</v>
      </c>
      <c r="P164" s="194" t="s">
        <v>1514</v>
      </c>
      <c r="Q164" s="197">
        <f>O164+5</f>
        <v>46276</v>
      </c>
      <c r="R164" s="199">
        <f>O164+6</f>
        <v>46277</v>
      </c>
      <c r="S164" s="388" t="s">
        <v>599</v>
      </c>
      <c r="T164" s="200"/>
      <c r="U164" s="200"/>
      <c r="V164" s="200"/>
      <c r="W164" s="200"/>
      <c r="X164" s="202"/>
      <c r="Y164" s="200"/>
      <c r="Z164" s="200"/>
      <c r="AA164" s="200"/>
      <c r="AB164" s="200"/>
      <c r="AC164" s="234"/>
      <c r="AD164" s="205" t="s">
        <v>542</v>
      </c>
    </row>
    <row r="165" spans="1:30" ht="25.5" hidden="1" customHeight="1">
      <c r="A165" s="502"/>
      <c r="B165" s="249" t="s">
        <v>62</v>
      </c>
      <c r="C165" s="252" t="s">
        <v>1515</v>
      </c>
      <c r="D165" s="253" t="s">
        <v>606</v>
      </c>
      <c r="E165" s="254">
        <v>46268</v>
      </c>
      <c r="F165" s="254">
        <v>46267</v>
      </c>
      <c r="G165" s="259" t="s">
        <v>576</v>
      </c>
      <c r="H165" s="186" t="s">
        <v>1516</v>
      </c>
      <c r="I165" s="186" t="s">
        <v>1517</v>
      </c>
      <c r="J165" s="188">
        <v>46278</v>
      </c>
      <c r="K165" s="186" t="s">
        <v>1516</v>
      </c>
      <c r="L165" s="186" t="s">
        <v>1517</v>
      </c>
      <c r="M165" s="186" t="s">
        <v>1518</v>
      </c>
      <c r="N165" s="186" t="s">
        <v>1519</v>
      </c>
      <c r="O165" s="188">
        <v>46279</v>
      </c>
      <c r="P165" s="261" t="s">
        <v>1520</v>
      </c>
      <c r="Q165" s="265"/>
      <c r="R165" s="264"/>
      <c r="S165" s="265">
        <f>O165+5</f>
        <v>46284</v>
      </c>
      <c r="T165" s="264"/>
      <c r="U165" s="264"/>
      <c r="V165" s="264"/>
      <c r="W165" s="265">
        <f>O165+9</f>
        <v>46288</v>
      </c>
      <c r="X165" s="265">
        <f>O165+11</f>
        <v>46290</v>
      </c>
      <c r="Y165" s="264"/>
      <c r="Z165" s="264"/>
      <c r="AA165" s="264"/>
      <c r="AB165" s="264"/>
      <c r="AC165" s="264"/>
      <c r="AD165" s="267"/>
    </row>
    <row r="166" spans="1:30" ht="25.5" hidden="1" customHeight="1">
      <c r="A166" s="507">
        <v>36</v>
      </c>
      <c r="B166" s="163" t="s">
        <v>535</v>
      </c>
      <c r="C166" s="164" t="s">
        <v>1521</v>
      </c>
      <c r="D166" s="167" t="s">
        <v>1094</v>
      </c>
      <c r="E166" s="288"/>
      <c r="F166" s="289">
        <v>46258</v>
      </c>
      <c r="G166" s="180" t="s">
        <v>1041</v>
      </c>
      <c r="H166" s="402" t="s">
        <v>1522</v>
      </c>
      <c r="I166" s="186"/>
      <c r="J166" s="188"/>
      <c r="K166" s="186" t="s">
        <v>1500</v>
      </c>
      <c r="L166" s="186" t="s">
        <v>1523</v>
      </c>
      <c r="M166" s="186" t="s">
        <v>1524</v>
      </c>
      <c r="N166" s="186" t="s">
        <v>1525</v>
      </c>
      <c r="O166" s="188">
        <v>46265</v>
      </c>
      <c r="P166" s="194" t="s">
        <v>1526</v>
      </c>
      <c r="Q166" s="389"/>
      <c r="R166" s="200"/>
      <c r="S166" s="200"/>
      <c r="T166" s="200"/>
      <c r="U166" s="200"/>
      <c r="V166" s="200"/>
      <c r="W166" s="200"/>
      <c r="X166" s="202"/>
      <c r="Y166" s="199">
        <f>O166+4</f>
        <v>46269</v>
      </c>
      <c r="Z166" s="199">
        <f>O166+6</f>
        <v>46271</v>
      </c>
      <c r="AA166" s="199">
        <f>O166+14</f>
        <v>46279</v>
      </c>
      <c r="AB166" s="199">
        <f>O166+16</f>
        <v>46281</v>
      </c>
      <c r="AC166" s="199">
        <f>O166+18</f>
        <v>46283</v>
      </c>
      <c r="AD166" s="205" t="s">
        <v>1046</v>
      </c>
    </row>
    <row r="167" spans="1:30" ht="25.5" hidden="1" customHeight="1">
      <c r="A167" s="502"/>
      <c r="B167" s="387" t="s">
        <v>65</v>
      </c>
      <c r="C167" s="252" t="s">
        <v>1527</v>
      </c>
      <c r="D167" s="253" t="s">
        <v>606</v>
      </c>
      <c r="E167" s="254">
        <v>46268</v>
      </c>
      <c r="F167" s="254">
        <v>46267</v>
      </c>
      <c r="G167" s="259" t="s">
        <v>576</v>
      </c>
      <c r="H167" s="186" t="s">
        <v>1528</v>
      </c>
      <c r="I167" s="186" t="s">
        <v>1529</v>
      </c>
      <c r="J167" s="188">
        <v>46273</v>
      </c>
      <c r="K167" s="186" t="s">
        <v>1528</v>
      </c>
      <c r="L167" s="186" t="s">
        <v>1529</v>
      </c>
      <c r="M167" s="186" t="s">
        <v>1530</v>
      </c>
      <c r="N167" s="186" t="s">
        <v>1531</v>
      </c>
      <c r="O167" s="188">
        <v>46274</v>
      </c>
      <c r="P167" s="261" t="s">
        <v>1532</v>
      </c>
      <c r="Q167" s="265"/>
      <c r="R167" s="264"/>
      <c r="S167" s="265">
        <f>O167+5</f>
        <v>46279</v>
      </c>
      <c r="T167" s="265">
        <f>O167+7</f>
        <v>46281</v>
      </c>
      <c r="U167" s="265">
        <f>O167+9</f>
        <v>46283</v>
      </c>
      <c r="V167" s="265">
        <f>O167+12</f>
        <v>46286</v>
      </c>
      <c r="W167" s="265">
        <f>O167+13</f>
        <v>46287</v>
      </c>
      <c r="X167" s="264"/>
      <c r="Y167" s="264"/>
      <c r="Z167" s="264"/>
      <c r="AA167" s="264"/>
      <c r="AB167" s="264"/>
      <c r="AC167" s="442"/>
      <c r="AD167" s="443"/>
    </row>
    <row r="168" spans="1:30" ht="25.5" hidden="1" customHeight="1">
      <c r="A168" s="519">
        <v>37</v>
      </c>
      <c r="B168" s="163" t="s">
        <v>535</v>
      </c>
      <c r="C168" s="164" t="s">
        <v>1533</v>
      </c>
      <c r="D168" s="167" t="s">
        <v>1094</v>
      </c>
      <c r="E168" s="288"/>
      <c r="F168" s="289">
        <v>46267</v>
      </c>
      <c r="G168" s="180" t="s">
        <v>1041</v>
      </c>
      <c r="H168" s="186"/>
      <c r="I168" s="186"/>
      <c r="J168" s="188"/>
      <c r="K168" s="186" t="s">
        <v>1534</v>
      </c>
      <c r="L168" s="186" t="s">
        <v>1535</v>
      </c>
      <c r="M168" s="186" t="s">
        <v>1536</v>
      </c>
      <c r="N168" s="186" t="s">
        <v>1537</v>
      </c>
      <c r="O168" s="188">
        <v>46274</v>
      </c>
      <c r="P168" s="194" t="s">
        <v>1538</v>
      </c>
      <c r="Q168" s="389"/>
      <c r="R168" s="200"/>
      <c r="S168" s="200"/>
      <c r="T168" s="200"/>
      <c r="U168" s="200"/>
      <c r="V168" s="200"/>
      <c r="W168" s="200"/>
      <c r="X168" s="202"/>
      <c r="Y168" s="199">
        <v>46232</v>
      </c>
      <c r="Z168" s="199">
        <v>46234</v>
      </c>
      <c r="AA168" s="199">
        <v>46242</v>
      </c>
      <c r="AB168" s="199"/>
      <c r="AC168" s="199"/>
      <c r="AD168" s="205"/>
    </row>
    <row r="169" spans="1:30" ht="25.5" customHeight="1">
      <c r="A169" s="501"/>
      <c r="B169" s="396" t="s">
        <v>204</v>
      </c>
      <c r="C169" s="397" t="s">
        <v>1539</v>
      </c>
      <c r="D169" s="398" t="s">
        <v>520</v>
      </c>
      <c r="E169" s="399">
        <v>46280</v>
      </c>
      <c r="F169" s="400">
        <v>46279</v>
      </c>
      <c r="G169" s="444" t="s">
        <v>521</v>
      </c>
      <c r="H169" s="402" t="s">
        <v>1540</v>
      </c>
      <c r="I169" s="403" t="s">
        <v>1541</v>
      </c>
      <c r="J169" s="405">
        <v>46287</v>
      </c>
      <c r="K169" s="402" t="s">
        <v>1540</v>
      </c>
      <c r="L169" s="403" t="s">
        <v>1541</v>
      </c>
      <c r="M169" s="402" t="s">
        <v>1542</v>
      </c>
      <c r="N169" s="403" t="s">
        <v>1543</v>
      </c>
      <c r="O169" s="405">
        <v>46288</v>
      </c>
      <c r="P169" s="445" t="s">
        <v>1544</v>
      </c>
      <c r="Q169" s="197">
        <f>O169+5</f>
        <v>46293</v>
      </c>
      <c r="R169" s="199">
        <f>O169+6</f>
        <v>46294</v>
      </c>
      <c r="S169" s="199">
        <f>O169+6</f>
        <v>46294</v>
      </c>
      <c r="T169" s="199">
        <f>Q169+3</f>
        <v>46296</v>
      </c>
      <c r="U169" s="200"/>
      <c r="V169" s="200"/>
      <c r="W169" s="200"/>
      <c r="X169" s="202"/>
      <c r="Y169" s="200"/>
      <c r="Z169" s="200"/>
      <c r="AA169" s="200"/>
      <c r="AB169" s="200"/>
      <c r="AC169" s="234"/>
      <c r="AD169" s="205"/>
    </row>
    <row r="170" spans="1:30" ht="25.5" customHeight="1">
      <c r="A170" s="502"/>
      <c r="B170" s="446" t="s">
        <v>62</v>
      </c>
      <c r="C170" s="447" t="s">
        <v>1545</v>
      </c>
      <c r="D170" s="448" t="s">
        <v>606</v>
      </c>
      <c r="E170" s="449">
        <v>46277</v>
      </c>
      <c r="F170" s="449">
        <v>46275</v>
      </c>
      <c r="G170" s="450" t="s">
        <v>576</v>
      </c>
      <c r="H170" s="402" t="s">
        <v>1546</v>
      </c>
      <c r="I170" s="403" t="s">
        <v>1547</v>
      </c>
      <c r="J170" s="405">
        <v>46293</v>
      </c>
      <c r="K170" s="402" t="s">
        <v>1546</v>
      </c>
      <c r="L170" s="403" t="s">
        <v>1547</v>
      </c>
      <c r="M170" s="402" t="s">
        <v>1548</v>
      </c>
      <c r="N170" s="403" t="s">
        <v>1549</v>
      </c>
      <c r="O170" s="405">
        <v>46294</v>
      </c>
      <c r="P170" s="451" t="s">
        <v>1550</v>
      </c>
      <c r="Q170" s="265"/>
      <c r="R170" s="264"/>
      <c r="S170" s="265">
        <f>O170+5</f>
        <v>46299</v>
      </c>
      <c r="T170" s="264"/>
      <c r="U170" s="264"/>
      <c r="V170" s="264"/>
      <c r="W170" s="265">
        <f>O170+9</f>
        <v>46303</v>
      </c>
      <c r="X170" s="265">
        <f>O170+11</f>
        <v>46305</v>
      </c>
      <c r="Y170" s="264"/>
      <c r="Z170" s="264"/>
      <c r="AA170" s="264"/>
      <c r="AB170" s="264"/>
      <c r="AC170" s="264"/>
      <c r="AD170" s="267"/>
    </row>
    <row r="171" spans="1:30" ht="25.5" hidden="1" customHeight="1">
      <c r="A171" s="519">
        <v>38</v>
      </c>
      <c r="B171" s="396" t="s">
        <v>535</v>
      </c>
      <c r="C171" s="397" t="s">
        <v>1551</v>
      </c>
      <c r="D171" s="398" t="s">
        <v>1094</v>
      </c>
      <c r="E171" s="512" t="s">
        <v>1424</v>
      </c>
      <c r="F171" s="513"/>
      <c r="G171" s="513"/>
      <c r="H171" s="513"/>
      <c r="I171" s="513"/>
      <c r="J171" s="513"/>
      <c r="K171" s="513"/>
      <c r="L171" s="513"/>
      <c r="M171" s="513"/>
      <c r="N171" s="513"/>
      <c r="O171" s="514"/>
      <c r="P171" s="406"/>
      <c r="Q171" s="389"/>
      <c r="R171" s="200"/>
      <c r="S171" s="200"/>
      <c r="T171" s="200"/>
      <c r="U171" s="200"/>
      <c r="V171" s="200"/>
      <c r="W171" s="200"/>
      <c r="X171" s="202"/>
      <c r="Y171" s="199"/>
      <c r="Z171" s="199"/>
      <c r="AA171" s="199"/>
      <c r="AB171" s="199"/>
      <c r="AC171" s="199"/>
      <c r="AD171" s="205"/>
    </row>
    <row r="172" spans="1:30" ht="25.5" customHeight="1">
      <c r="A172" s="501"/>
      <c r="B172" s="452" t="s">
        <v>65</v>
      </c>
      <c r="C172" s="397" t="s">
        <v>1552</v>
      </c>
      <c r="D172" s="453" t="s">
        <v>606</v>
      </c>
      <c r="E172" s="399">
        <v>46288</v>
      </c>
      <c r="F172" s="400">
        <v>46289</v>
      </c>
      <c r="G172" s="401" t="s">
        <v>576</v>
      </c>
      <c r="H172" s="402" t="s">
        <v>1553</v>
      </c>
      <c r="I172" s="403" t="s">
        <v>1554</v>
      </c>
      <c r="J172" s="405">
        <v>46293</v>
      </c>
      <c r="K172" s="402" t="s">
        <v>1553</v>
      </c>
      <c r="L172" s="403" t="s">
        <v>1554</v>
      </c>
      <c r="M172" s="402" t="s">
        <v>1555</v>
      </c>
      <c r="N172" s="403" t="s">
        <v>1556</v>
      </c>
      <c r="O172" s="405">
        <v>46294</v>
      </c>
      <c r="P172" s="445" t="s">
        <v>1557</v>
      </c>
      <c r="Q172" s="233"/>
      <c r="R172" s="231"/>
      <c r="S172" s="233">
        <f>O172+5</f>
        <v>46299</v>
      </c>
      <c r="T172" s="233">
        <f>O172+7</f>
        <v>46301</v>
      </c>
      <c r="U172" s="233">
        <f>O172+9</f>
        <v>46303</v>
      </c>
      <c r="V172" s="233">
        <f>O172+12</f>
        <v>46306</v>
      </c>
      <c r="W172" s="233">
        <f>O172+13</f>
        <v>46307</v>
      </c>
      <c r="X172" s="231"/>
      <c r="Y172" s="231"/>
      <c r="Z172" s="231"/>
      <c r="AA172" s="231"/>
      <c r="AB172" s="231"/>
      <c r="AC172" s="234"/>
      <c r="AD172" s="365"/>
    </row>
    <row r="173" spans="1:30" ht="25.5" customHeight="1">
      <c r="A173" s="501"/>
      <c r="B173" s="454" t="s">
        <v>1108</v>
      </c>
      <c r="C173" s="455" t="s">
        <v>1558</v>
      </c>
      <c r="D173" s="456" t="s">
        <v>1147</v>
      </c>
      <c r="E173" s="457"/>
      <c r="F173" s="458">
        <v>46289</v>
      </c>
      <c r="G173" s="459" t="s">
        <v>1111</v>
      </c>
      <c r="H173" s="402"/>
      <c r="I173" s="403"/>
      <c r="J173" s="405"/>
      <c r="K173" s="402" t="s">
        <v>1546</v>
      </c>
      <c r="L173" s="403" t="s">
        <v>1559</v>
      </c>
      <c r="M173" s="402" t="s">
        <v>1554</v>
      </c>
      <c r="N173" s="403" t="s">
        <v>1560</v>
      </c>
      <c r="O173" s="405">
        <v>46295</v>
      </c>
      <c r="P173" s="445" t="s">
        <v>1561</v>
      </c>
      <c r="Q173" s="460"/>
      <c r="R173" s="231"/>
      <c r="S173" s="460"/>
      <c r="T173" s="461"/>
      <c r="U173" s="461"/>
      <c r="V173" s="461"/>
      <c r="W173" s="460"/>
      <c r="X173" s="460"/>
      <c r="Y173" s="461"/>
      <c r="Z173" s="461"/>
      <c r="AA173" s="233">
        <f>O173+12</f>
        <v>46307</v>
      </c>
      <c r="AB173" s="461"/>
      <c r="AC173" s="363"/>
      <c r="AD173" s="372"/>
    </row>
    <row r="174" spans="1:30" ht="25.5" customHeight="1">
      <c r="A174" s="502"/>
      <c r="B174" s="446" t="s">
        <v>62</v>
      </c>
      <c r="C174" s="447" t="s">
        <v>1562</v>
      </c>
      <c r="D174" s="448" t="s">
        <v>606</v>
      </c>
      <c r="E174" s="449">
        <v>46288</v>
      </c>
      <c r="F174" s="449">
        <v>46287</v>
      </c>
      <c r="G174" s="450" t="s">
        <v>576</v>
      </c>
      <c r="H174" s="402" t="s">
        <v>1548</v>
      </c>
      <c r="I174" s="403" t="s">
        <v>1559</v>
      </c>
      <c r="J174" s="405">
        <v>46293</v>
      </c>
      <c r="K174" s="402" t="s">
        <v>1548</v>
      </c>
      <c r="L174" s="403" t="s">
        <v>1559</v>
      </c>
      <c r="M174" s="402" t="s">
        <v>1563</v>
      </c>
      <c r="N174" s="403" t="s">
        <v>1564</v>
      </c>
      <c r="O174" s="405">
        <v>46294</v>
      </c>
      <c r="P174" s="451" t="s">
        <v>1565</v>
      </c>
      <c r="Q174" s="265"/>
      <c r="R174" s="264"/>
      <c r="S174" s="265">
        <f>O174+5</f>
        <v>46299</v>
      </c>
      <c r="T174" s="264"/>
      <c r="U174" s="264"/>
      <c r="V174" s="265"/>
      <c r="W174" s="265">
        <f>O174+9</f>
        <v>46303</v>
      </c>
      <c r="X174" s="265">
        <f>O174+11</f>
        <v>46305</v>
      </c>
      <c r="Y174" s="264"/>
      <c r="Z174" s="264"/>
      <c r="AA174" s="264"/>
      <c r="AB174" s="264"/>
      <c r="AC174" s="264"/>
      <c r="AD174" s="267"/>
    </row>
    <row r="175" spans="1:30" ht="25.5" hidden="1" customHeight="1">
      <c r="A175" s="519">
        <v>39</v>
      </c>
      <c r="B175" s="396" t="s">
        <v>535</v>
      </c>
      <c r="C175" s="397" t="s">
        <v>1566</v>
      </c>
      <c r="D175" s="398" t="s">
        <v>1094</v>
      </c>
      <c r="E175" s="512" t="s">
        <v>1567</v>
      </c>
      <c r="F175" s="513"/>
      <c r="G175" s="513"/>
      <c r="H175" s="513"/>
      <c r="I175" s="513"/>
      <c r="J175" s="513"/>
      <c r="K175" s="513"/>
      <c r="L175" s="513"/>
      <c r="M175" s="513"/>
      <c r="N175" s="513"/>
      <c r="O175" s="514"/>
      <c r="P175" s="406"/>
      <c r="Q175" s="389"/>
      <c r="R175" s="200"/>
      <c r="S175" s="200"/>
      <c r="T175" s="200"/>
      <c r="U175" s="200"/>
      <c r="V175" s="200"/>
      <c r="W175" s="200"/>
      <c r="X175" s="202"/>
      <c r="Y175" s="199">
        <v>46232</v>
      </c>
      <c r="Z175" s="199">
        <v>46234</v>
      </c>
      <c r="AA175" s="199">
        <v>46242</v>
      </c>
      <c r="AB175" s="199"/>
      <c r="AC175" s="199"/>
      <c r="AD175" s="205"/>
    </row>
    <row r="176" spans="1:30" ht="25.5" hidden="1" customHeight="1">
      <c r="A176" s="501"/>
      <c r="B176" s="515" t="s">
        <v>1568</v>
      </c>
      <c r="C176" s="510"/>
      <c r="D176" s="510"/>
      <c r="E176" s="510"/>
      <c r="F176" s="510"/>
      <c r="G176" s="510"/>
      <c r="H176" s="510"/>
      <c r="I176" s="510"/>
      <c r="J176" s="510"/>
      <c r="K176" s="510"/>
      <c r="L176" s="510"/>
      <c r="M176" s="510"/>
      <c r="N176" s="510"/>
      <c r="O176" s="510"/>
      <c r="P176" s="511"/>
      <c r="Q176" s="389"/>
      <c r="R176" s="200"/>
      <c r="S176" s="388"/>
      <c r="T176" s="200"/>
      <c r="U176" s="200"/>
      <c r="V176" s="200"/>
      <c r="W176" s="200"/>
      <c r="X176" s="202"/>
      <c r="Y176" s="200"/>
      <c r="Z176" s="200"/>
      <c r="AA176" s="200"/>
      <c r="AB176" s="200"/>
      <c r="AC176" s="234"/>
      <c r="AD176" s="205" t="s">
        <v>542</v>
      </c>
    </row>
    <row r="177" spans="1:30" ht="25.5" customHeight="1">
      <c r="A177" s="501"/>
      <c r="B177" s="396" t="s">
        <v>65</v>
      </c>
      <c r="C177" s="397" t="s">
        <v>1569</v>
      </c>
      <c r="D177" s="398" t="s">
        <v>606</v>
      </c>
      <c r="E177" s="399"/>
      <c r="F177" s="400"/>
      <c r="G177" s="401" t="s">
        <v>576</v>
      </c>
      <c r="H177" s="402" t="s">
        <v>1570</v>
      </c>
      <c r="I177" s="403" t="s">
        <v>1571</v>
      </c>
      <c r="J177" s="405">
        <v>46298</v>
      </c>
      <c r="K177" s="402" t="s">
        <v>1570</v>
      </c>
      <c r="L177" s="403" t="s">
        <v>1571</v>
      </c>
      <c r="M177" s="402" t="s">
        <v>1572</v>
      </c>
      <c r="N177" s="403" t="s">
        <v>1573</v>
      </c>
      <c r="O177" s="405">
        <v>46298</v>
      </c>
      <c r="P177" s="445" t="s">
        <v>1574</v>
      </c>
      <c r="Q177" s="197"/>
      <c r="R177" s="199"/>
      <c r="S177" s="199">
        <f>O177+5</f>
        <v>46303</v>
      </c>
      <c r="T177" s="199">
        <f>O177+7</f>
        <v>46305</v>
      </c>
      <c r="U177" s="199">
        <f>O177+9</f>
        <v>46307</v>
      </c>
      <c r="V177" s="199">
        <f>O177+12</f>
        <v>46310</v>
      </c>
      <c r="W177" s="199">
        <f>O177+13</f>
        <v>46311</v>
      </c>
      <c r="X177" s="202"/>
      <c r="Y177" s="200"/>
      <c r="Z177" s="200"/>
      <c r="AA177" s="200"/>
      <c r="AB177" s="200"/>
      <c r="AC177" s="234"/>
      <c r="AD177" s="205"/>
    </row>
    <row r="178" spans="1:30" ht="25.5" customHeight="1">
      <c r="A178" s="501"/>
      <c r="B178" s="462" t="s">
        <v>1575</v>
      </c>
      <c r="C178" s="455" t="s">
        <v>1576</v>
      </c>
      <c r="D178" s="463" t="s">
        <v>1169</v>
      </c>
      <c r="E178" s="399"/>
      <c r="F178" s="400">
        <v>46282</v>
      </c>
      <c r="G178" s="401" t="s">
        <v>664</v>
      </c>
      <c r="H178" s="402"/>
      <c r="I178" s="403"/>
      <c r="J178" s="405"/>
      <c r="K178" s="402" t="s">
        <v>1577</v>
      </c>
      <c r="L178" s="403" t="s">
        <v>1578</v>
      </c>
      <c r="M178" s="402" t="s">
        <v>1579</v>
      </c>
      <c r="N178" s="403" t="s">
        <v>1580</v>
      </c>
      <c r="O178" s="405">
        <v>46287</v>
      </c>
      <c r="P178" s="445" t="s">
        <v>1581</v>
      </c>
      <c r="Q178" s="199">
        <f>O178+3</f>
        <v>46290</v>
      </c>
      <c r="R178" s="231"/>
      <c r="S178" s="199"/>
      <c r="T178" s="231"/>
      <c r="U178" s="231"/>
      <c r="V178" s="233">
        <f>O178+4</f>
        <v>46291</v>
      </c>
      <c r="W178" s="233"/>
      <c r="X178" s="233"/>
      <c r="Y178" s="231"/>
      <c r="Z178" s="231"/>
      <c r="AA178" s="231"/>
      <c r="AB178" s="231"/>
      <c r="AC178" s="231"/>
      <c r="AD178" s="372"/>
    </row>
    <row r="179" spans="1:30" ht="25.5" customHeight="1">
      <c r="A179" s="501"/>
      <c r="B179" s="454" t="s">
        <v>1108</v>
      </c>
      <c r="C179" s="455" t="s">
        <v>1582</v>
      </c>
      <c r="D179" s="456" t="s">
        <v>1147</v>
      </c>
      <c r="E179" s="457"/>
      <c r="F179" s="400">
        <v>46285</v>
      </c>
      <c r="G179" s="459" t="s">
        <v>1111</v>
      </c>
      <c r="H179" s="402"/>
      <c r="I179" s="403"/>
      <c r="J179" s="405"/>
      <c r="K179" s="402" t="s">
        <v>1583</v>
      </c>
      <c r="L179" s="403" t="s">
        <v>1584</v>
      </c>
      <c r="M179" s="402" t="s">
        <v>1585</v>
      </c>
      <c r="N179" s="403" t="s">
        <v>1586</v>
      </c>
      <c r="O179" s="405">
        <v>46292</v>
      </c>
      <c r="P179" s="406"/>
      <c r="Q179" s="460"/>
      <c r="R179" s="231"/>
      <c r="S179" s="460"/>
      <c r="T179" s="461"/>
      <c r="U179" s="461"/>
      <c r="V179" s="461"/>
      <c r="W179" s="460"/>
      <c r="X179" s="460"/>
      <c r="Y179" s="461"/>
      <c r="Z179" s="461"/>
      <c r="AA179" s="233">
        <f>O179+12</f>
        <v>46304</v>
      </c>
      <c r="AB179" s="461"/>
      <c r="AC179" s="363"/>
      <c r="AD179" s="464"/>
    </row>
    <row r="180" spans="1:30" ht="25.5" customHeight="1">
      <c r="A180" s="502"/>
      <c r="B180" s="446" t="s">
        <v>62</v>
      </c>
      <c r="C180" s="447" t="s">
        <v>1587</v>
      </c>
      <c r="D180" s="448" t="s">
        <v>606</v>
      </c>
      <c r="E180" s="449"/>
      <c r="F180" s="449"/>
      <c r="G180" s="450" t="s">
        <v>576</v>
      </c>
      <c r="H180" s="402" t="s">
        <v>1572</v>
      </c>
      <c r="I180" s="403" t="s">
        <v>1588</v>
      </c>
      <c r="J180" s="405">
        <v>46299</v>
      </c>
      <c r="K180" s="402" t="s">
        <v>1572</v>
      </c>
      <c r="L180" s="403" t="s">
        <v>1588</v>
      </c>
      <c r="M180" s="402" t="s">
        <v>1589</v>
      </c>
      <c r="N180" s="403" t="s">
        <v>1590</v>
      </c>
      <c r="O180" s="405">
        <v>46300</v>
      </c>
      <c r="P180" s="451" t="s">
        <v>1591</v>
      </c>
      <c r="Q180" s="265"/>
      <c r="R180" s="264"/>
      <c r="S180" s="265">
        <f>O180+5</f>
        <v>46305</v>
      </c>
      <c r="T180" s="264"/>
      <c r="U180" s="264"/>
      <c r="V180" s="264"/>
      <c r="W180" s="265">
        <f>O180+9</f>
        <v>46309</v>
      </c>
      <c r="X180" s="265">
        <f>O180+11</f>
        <v>46311</v>
      </c>
      <c r="Y180" s="264"/>
      <c r="Z180" s="264"/>
      <c r="AA180" s="264"/>
      <c r="AB180" s="264"/>
      <c r="AC180" s="264"/>
      <c r="AD180" s="267"/>
    </row>
    <row r="181" spans="1:30" ht="25.5" customHeight="1">
      <c r="A181" s="519">
        <v>40</v>
      </c>
      <c r="B181" s="396" t="s">
        <v>535</v>
      </c>
      <c r="C181" s="397" t="s">
        <v>1592</v>
      </c>
      <c r="D181" s="398" t="s">
        <v>1094</v>
      </c>
      <c r="E181" s="399"/>
      <c r="F181" s="400"/>
      <c r="G181" s="401" t="s">
        <v>1041</v>
      </c>
      <c r="H181" s="465"/>
      <c r="I181" s="466"/>
      <c r="J181" s="467"/>
      <c r="K181" s="465" t="s">
        <v>1593</v>
      </c>
      <c r="L181" s="466" t="s">
        <v>1594</v>
      </c>
      <c r="M181" s="465" t="s">
        <v>1595</v>
      </c>
      <c r="N181" s="466" t="s">
        <v>1596</v>
      </c>
      <c r="O181" s="467">
        <v>46307</v>
      </c>
      <c r="P181" s="445" t="s">
        <v>1597</v>
      </c>
      <c r="Q181" s="389"/>
      <c r="R181" s="200"/>
      <c r="S181" s="200"/>
      <c r="T181" s="200"/>
      <c r="U181" s="200"/>
      <c r="V181" s="200"/>
      <c r="W181" s="200"/>
      <c r="X181" s="202"/>
      <c r="Y181" s="199">
        <f>O181+4</f>
        <v>46311</v>
      </c>
      <c r="Z181" s="199">
        <f>O181+6</f>
        <v>46313</v>
      </c>
      <c r="AA181" s="199">
        <f>O181+14</f>
        <v>46321</v>
      </c>
      <c r="AB181" s="199">
        <f>O181+16</f>
        <v>46323</v>
      </c>
      <c r="AC181" s="199">
        <f>O181+18</f>
        <v>46325</v>
      </c>
      <c r="AD181" s="205" t="s">
        <v>1046</v>
      </c>
    </row>
    <row r="182" spans="1:30" ht="25.5" customHeight="1">
      <c r="A182" s="502"/>
      <c r="B182" s="446" t="s">
        <v>1108</v>
      </c>
      <c r="C182" s="447" t="s">
        <v>1598</v>
      </c>
      <c r="D182" s="448" t="s">
        <v>1147</v>
      </c>
      <c r="E182" s="449"/>
      <c r="F182" s="449"/>
      <c r="G182" s="468"/>
      <c r="H182" s="402"/>
      <c r="I182" s="403"/>
      <c r="J182" s="405"/>
      <c r="K182" s="402" t="s">
        <v>1599</v>
      </c>
      <c r="L182" s="403" t="s">
        <v>1600</v>
      </c>
      <c r="M182" s="402" t="s">
        <v>1601</v>
      </c>
      <c r="N182" s="403" t="s">
        <v>1602</v>
      </c>
      <c r="O182" s="404">
        <v>46298</v>
      </c>
      <c r="P182" s="469"/>
      <c r="Q182" s="265"/>
      <c r="R182" s="265"/>
      <c r="S182" s="265"/>
      <c r="T182" s="264"/>
      <c r="U182" s="264"/>
      <c r="V182" s="264"/>
      <c r="W182" s="265"/>
      <c r="X182" s="265"/>
      <c r="Y182" s="264"/>
      <c r="Z182" s="264"/>
      <c r="AA182" s="265">
        <f>O182+12</f>
        <v>46310</v>
      </c>
      <c r="AB182" s="264"/>
      <c r="AC182" s="264"/>
      <c r="AD182" s="267" t="s">
        <v>542</v>
      </c>
    </row>
    <row r="183" spans="1:30" ht="25.5" customHeight="1">
      <c r="A183" s="519">
        <v>41</v>
      </c>
      <c r="B183" s="396" t="s">
        <v>535</v>
      </c>
      <c r="C183" s="397" t="s">
        <v>1603</v>
      </c>
      <c r="D183" s="398" t="s">
        <v>1094</v>
      </c>
      <c r="E183" s="399"/>
      <c r="F183" s="400"/>
      <c r="G183" s="401" t="s">
        <v>1041</v>
      </c>
      <c r="H183" s="402"/>
      <c r="I183" s="403"/>
      <c r="J183" s="405"/>
      <c r="K183" s="402" t="s">
        <v>1572</v>
      </c>
      <c r="L183" s="403" t="s">
        <v>1604</v>
      </c>
      <c r="M183" s="402" t="s">
        <v>1605</v>
      </c>
      <c r="N183" s="403" t="s">
        <v>1606</v>
      </c>
      <c r="O183" s="405">
        <v>46301</v>
      </c>
      <c r="P183" s="445" t="s">
        <v>1597</v>
      </c>
      <c r="Q183" s="389"/>
      <c r="R183" s="200"/>
      <c r="S183" s="200"/>
      <c r="T183" s="200"/>
      <c r="U183" s="200"/>
      <c r="V183" s="200"/>
      <c r="W183" s="200"/>
      <c r="X183" s="202"/>
      <c r="Y183" s="199">
        <v>46232</v>
      </c>
      <c r="Z183" s="199">
        <v>46234</v>
      </c>
      <c r="AA183" s="199">
        <v>46242</v>
      </c>
      <c r="AB183" s="199"/>
      <c r="AC183" s="199"/>
      <c r="AD183" s="205"/>
    </row>
    <row r="184" spans="1:30" ht="25.5" hidden="1" customHeight="1">
      <c r="A184" s="501"/>
      <c r="B184" s="516" t="s">
        <v>1607</v>
      </c>
      <c r="C184" s="517"/>
      <c r="D184" s="517"/>
      <c r="E184" s="517"/>
      <c r="F184" s="517"/>
      <c r="G184" s="517"/>
      <c r="H184" s="517"/>
      <c r="I184" s="517"/>
      <c r="J184" s="517"/>
      <c r="K184" s="517"/>
      <c r="L184" s="517"/>
      <c r="M184" s="517"/>
      <c r="N184" s="517"/>
      <c r="O184" s="506"/>
      <c r="P184" s="406"/>
      <c r="Q184" s="389"/>
      <c r="R184" s="200"/>
      <c r="S184" s="388"/>
      <c r="T184" s="200"/>
      <c r="U184" s="200"/>
      <c r="V184" s="200"/>
      <c r="W184" s="200"/>
      <c r="X184" s="202"/>
      <c r="Y184" s="200"/>
      <c r="Z184" s="200"/>
      <c r="AA184" s="200"/>
      <c r="AB184" s="200"/>
      <c r="AC184" s="234"/>
      <c r="AD184" s="205" t="s">
        <v>542</v>
      </c>
    </row>
    <row r="185" spans="1:30" ht="25.5" customHeight="1">
      <c r="A185" s="501"/>
      <c r="B185" s="452" t="s">
        <v>65</v>
      </c>
      <c r="C185" s="397" t="s">
        <v>1608</v>
      </c>
      <c r="D185" s="453" t="s">
        <v>606</v>
      </c>
      <c r="E185" s="470"/>
      <c r="F185" s="470"/>
      <c r="G185" s="401"/>
      <c r="H185" s="402" t="s">
        <v>1609</v>
      </c>
      <c r="I185" s="403" t="s">
        <v>1610</v>
      </c>
      <c r="J185" s="405">
        <v>46315</v>
      </c>
      <c r="K185" s="402" t="s">
        <v>1609</v>
      </c>
      <c r="L185" s="403" t="s">
        <v>1610</v>
      </c>
      <c r="M185" s="402" t="s">
        <v>1611</v>
      </c>
      <c r="N185" s="403" t="s">
        <v>1612</v>
      </c>
      <c r="O185" s="405">
        <v>46316</v>
      </c>
      <c r="P185" s="406"/>
      <c r="Q185" s="233"/>
      <c r="R185" s="231"/>
      <c r="S185" s="233">
        <f t="shared" ref="S185:S186" si="30">O185+5</f>
        <v>46321</v>
      </c>
      <c r="T185" s="233">
        <f>O185+7</f>
        <v>46323</v>
      </c>
      <c r="U185" s="233">
        <f>O185+9</f>
        <v>46325</v>
      </c>
      <c r="V185" s="233">
        <f>O185+12</f>
        <v>46328</v>
      </c>
      <c r="W185" s="233">
        <f>O185+13</f>
        <v>46329</v>
      </c>
      <c r="X185" s="231"/>
      <c r="Y185" s="231"/>
      <c r="Z185" s="231"/>
      <c r="AA185" s="231"/>
      <c r="AB185" s="231"/>
      <c r="AC185" s="234"/>
      <c r="AD185" s="365"/>
    </row>
    <row r="186" spans="1:30" ht="25.5" customHeight="1">
      <c r="A186" s="502"/>
      <c r="B186" s="446" t="s">
        <v>62</v>
      </c>
      <c r="C186" s="447" t="s">
        <v>1613</v>
      </c>
      <c r="D186" s="448" t="s">
        <v>606</v>
      </c>
      <c r="E186" s="449"/>
      <c r="F186" s="449"/>
      <c r="G186" s="450" t="s">
        <v>576</v>
      </c>
      <c r="H186" s="471" t="s">
        <v>1614</v>
      </c>
      <c r="I186" s="472" t="s">
        <v>1615</v>
      </c>
      <c r="J186" s="473">
        <v>46311</v>
      </c>
      <c r="K186" s="471" t="s">
        <v>1614</v>
      </c>
      <c r="L186" s="472" t="s">
        <v>1615</v>
      </c>
      <c r="M186" s="471" t="s">
        <v>1616</v>
      </c>
      <c r="N186" s="472" t="s">
        <v>1617</v>
      </c>
      <c r="O186" s="473">
        <v>46312</v>
      </c>
      <c r="P186" s="469"/>
      <c r="Q186" s="265"/>
      <c r="R186" s="264"/>
      <c r="S186" s="265">
        <f t="shared" si="30"/>
        <v>46317</v>
      </c>
      <c r="T186" s="264"/>
      <c r="U186" s="264"/>
      <c r="V186" s="264"/>
      <c r="W186" s="265">
        <f>O186+9</f>
        <v>46321</v>
      </c>
      <c r="X186" s="265">
        <f>O186+11</f>
        <v>46323</v>
      </c>
      <c r="Y186" s="264"/>
      <c r="Z186" s="264"/>
      <c r="AA186" s="264"/>
      <c r="AB186" s="264"/>
      <c r="AC186" s="264"/>
      <c r="AD186" s="267"/>
    </row>
    <row r="187" spans="1:30" ht="25.5" customHeight="1">
      <c r="A187" s="519">
        <v>42</v>
      </c>
      <c r="B187" s="396" t="s">
        <v>454</v>
      </c>
      <c r="C187" s="397" t="s">
        <v>1618</v>
      </c>
      <c r="D187" s="398" t="s">
        <v>1619</v>
      </c>
      <c r="E187" s="399"/>
      <c r="F187" s="400"/>
      <c r="G187" s="444"/>
      <c r="H187" s="402"/>
      <c r="I187" s="403"/>
      <c r="J187" s="474" t="s">
        <v>599</v>
      </c>
      <c r="K187" s="402" t="s">
        <v>1620</v>
      </c>
      <c r="L187" s="403" t="s">
        <v>1621</v>
      </c>
      <c r="M187" s="402" t="s">
        <v>1622</v>
      </c>
      <c r="N187" s="403" t="s">
        <v>1623</v>
      </c>
      <c r="O187" s="405">
        <v>46322</v>
      </c>
      <c r="P187" s="406"/>
      <c r="Q187" s="197">
        <f>O187+4</f>
        <v>46326</v>
      </c>
      <c r="R187" s="199">
        <f>O187+5</f>
        <v>46327</v>
      </c>
      <c r="S187" s="200"/>
      <c r="T187" s="200"/>
      <c r="U187" s="200"/>
      <c r="V187" s="200"/>
      <c r="W187" s="200"/>
      <c r="X187" s="202"/>
      <c r="Y187" s="200"/>
      <c r="Z187" s="200"/>
      <c r="AA187" s="200"/>
      <c r="AB187" s="200"/>
      <c r="AC187" s="234"/>
      <c r="AD187" s="205"/>
    </row>
    <row r="188" spans="1:30" ht="25.5" customHeight="1">
      <c r="A188" s="501"/>
      <c r="B188" s="452" t="s">
        <v>65</v>
      </c>
      <c r="C188" s="397" t="s">
        <v>1624</v>
      </c>
      <c r="D188" s="453" t="s">
        <v>606</v>
      </c>
      <c r="E188" s="470"/>
      <c r="F188" s="470"/>
      <c r="G188" s="401"/>
      <c r="H188" s="402" t="s">
        <v>1625</v>
      </c>
      <c r="I188" s="403" t="s">
        <v>1626</v>
      </c>
      <c r="J188" s="405">
        <v>46318</v>
      </c>
      <c r="K188" s="402" t="s">
        <v>1625</v>
      </c>
      <c r="L188" s="403" t="s">
        <v>1626</v>
      </c>
      <c r="M188" s="402" t="s">
        <v>1627</v>
      </c>
      <c r="N188" s="403" t="s">
        <v>1628</v>
      </c>
      <c r="O188" s="405">
        <v>46318</v>
      </c>
      <c r="P188" s="406"/>
      <c r="Q188" s="233"/>
      <c r="R188" s="231"/>
      <c r="S188" s="233">
        <f t="shared" ref="S188:S189" si="31">O188+5</f>
        <v>46323</v>
      </c>
      <c r="T188" s="233">
        <f>O188+7</f>
        <v>46325</v>
      </c>
      <c r="U188" s="233">
        <f>O188+9</f>
        <v>46327</v>
      </c>
      <c r="V188" s="233">
        <f>O188+12</f>
        <v>46330</v>
      </c>
      <c r="W188" s="233">
        <f>O188+13</f>
        <v>46331</v>
      </c>
      <c r="X188" s="231"/>
      <c r="Y188" s="231"/>
      <c r="Z188" s="231"/>
      <c r="AA188" s="231"/>
      <c r="AB188" s="231"/>
      <c r="AC188" s="234"/>
      <c r="AD188" s="365"/>
    </row>
    <row r="189" spans="1:30" ht="25.5" customHeight="1">
      <c r="A189" s="502"/>
      <c r="B189" s="446" t="s">
        <v>62</v>
      </c>
      <c r="C189" s="447" t="s">
        <v>1629</v>
      </c>
      <c r="D189" s="448" t="s">
        <v>606</v>
      </c>
      <c r="E189" s="449"/>
      <c r="F189" s="449"/>
      <c r="G189" s="468"/>
      <c r="H189" s="471" t="s">
        <v>1614</v>
      </c>
      <c r="I189" s="472" t="s">
        <v>1630</v>
      </c>
      <c r="J189" s="473">
        <v>46310</v>
      </c>
      <c r="K189" s="471" t="s">
        <v>1614</v>
      </c>
      <c r="L189" s="472" t="s">
        <v>1630</v>
      </c>
      <c r="M189" s="471" t="s">
        <v>1631</v>
      </c>
      <c r="N189" s="472" t="s">
        <v>1632</v>
      </c>
      <c r="O189" s="473">
        <v>46311</v>
      </c>
      <c r="P189" s="469"/>
      <c r="Q189" s="265"/>
      <c r="R189" s="264"/>
      <c r="S189" s="265">
        <f t="shared" si="31"/>
        <v>46316</v>
      </c>
      <c r="T189" s="264"/>
      <c r="U189" s="264"/>
      <c r="V189" s="264"/>
      <c r="W189" s="265">
        <f>O189+9</f>
        <v>46320</v>
      </c>
      <c r="X189" s="265">
        <f>O189+11</f>
        <v>46322</v>
      </c>
      <c r="Y189" s="264"/>
      <c r="Z189" s="264"/>
      <c r="AA189" s="264"/>
      <c r="AB189" s="264"/>
      <c r="AC189" s="264"/>
      <c r="AD189" s="267"/>
    </row>
  </sheetData>
  <mergeCells count="79">
    <mergeCell ref="A22:A25"/>
    <mergeCell ref="A26:A29"/>
    <mergeCell ref="G6:G7"/>
    <mergeCell ref="H6:I6"/>
    <mergeCell ref="A8:A12"/>
    <mergeCell ref="A13:A16"/>
    <mergeCell ref="A17:A21"/>
    <mergeCell ref="E1:P1"/>
    <mergeCell ref="E2:P2"/>
    <mergeCell ref="E3:O3"/>
    <mergeCell ref="E4:G4"/>
    <mergeCell ref="H4:O4"/>
    <mergeCell ref="A187:A189"/>
    <mergeCell ref="A87:A93"/>
    <mergeCell ref="A94:A99"/>
    <mergeCell ref="A100:A105"/>
    <mergeCell ref="A106:A110"/>
    <mergeCell ref="A111:A117"/>
    <mergeCell ref="A118:A124"/>
    <mergeCell ref="A125:A129"/>
    <mergeCell ref="E175:O175"/>
    <mergeCell ref="B176:P176"/>
    <mergeCell ref="B184:O184"/>
    <mergeCell ref="A150:A152"/>
    <mergeCell ref="A153:A156"/>
    <mergeCell ref="A157:A161"/>
    <mergeCell ref="A163:A165"/>
    <mergeCell ref="A166:A167"/>
    <mergeCell ref="A168:A170"/>
    <mergeCell ref="A171:A174"/>
    <mergeCell ref="A175:A180"/>
    <mergeCell ref="A181:A182"/>
    <mergeCell ref="A183:A186"/>
    <mergeCell ref="A134:A139"/>
    <mergeCell ref="A140:A144"/>
    <mergeCell ref="A145:A149"/>
    <mergeCell ref="E148:P148"/>
    <mergeCell ref="E171:O171"/>
    <mergeCell ref="A67:A71"/>
    <mergeCell ref="A72:A76"/>
    <mergeCell ref="A77:A82"/>
    <mergeCell ref="A83:A86"/>
    <mergeCell ref="A130:A133"/>
    <mergeCell ref="A46:A49"/>
    <mergeCell ref="A50:A53"/>
    <mergeCell ref="A54:A57"/>
    <mergeCell ref="A58:A62"/>
    <mergeCell ref="A63:A66"/>
    <mergeCell ref="A30:A33"/>
    <mergeCell ref="A34:A36"/>
    <mergeCell ref="A37:A40"/>
    <mergeCell ref="A41:A43"/>
    <mergeCell ref="A44:A45"/>
    <mergeCell ref="AB6:AB7"/>
    <mergeCell ref="K5:O5"/>
    <mergeCell ref="Q5:AC5"/>
    <mergeCell ref="AD5:AD7"/>
    <mergeCell ref="D6:D7"/>
    <mergeCell ref="E6:E7"/>
    <mergeCell ref="F6:F7"/>
    <mergeCell ref="M6:N6"/>
    <mergeCell ref="AC6:AC7"/>
    <mergeCell ref="E5:F5"/>
    <mergeCell ref="H5:J5"/>
    <mergeCell ref="J6:J7"/>
    <mergeCell ref="K6:L6"/>
    <mergeCell ref="Q6:Q7"/>
    <mergeCell ref="R6:R7"/>
    <mergeCell ref="S6:S7"/>
    <mergeCell ref="P5:P7"/>
    <mergeCell ref="O6:O7"/>
    <mergeCell ref="Y6:Y7"/>
    <mergeCell ref="Z6:Z7"/>
    <mergeCell ref="AA6:AA7"/>
    <mergeCell ref="T6:T7"/>
    <mergeCell ref="U6:U7"/>
    <mergeCell ref="V6:V7"/>
    <mergeCell ref="W6:W7"/>
    <mergeCell ref="X6:X7"/>
  </mergeCells>
  <phoneticPr fontId="149" type="noConversion"/>
  <hyperlinks>
    <hyperlink ref="E2" r:id="rId1" location="gid=2130362019" xr:uid="{00000000-0004-0000-0100-000000000000}"/>
    <hyperlink ref="G8" r:id="rId2" xr:uid="{00000000-0004-0000-0100-000001000000}"/>
    <hyperlink ref="P8" r:id="rId3" xr:uid="{00000000-0004-0000-0100-000002000000}"/>
    <hyperlink ref="P9" r:id="rId4" xr:uid="{00000000-0004-0000-0100-000003000000}"/>
    <hyperlink ref="G10" r:id="rId5" xr:uid="{00000000-0004-0000-0100-000004000000}"/>
    <hyperlink ref="P10" r:id="rId6" xr:uid="{00000000-0004-0000-0100-000005000000}"/>
    <hyperlink ref="G11" r:id="rId7" xr:uid="{00000000-0004-0000-0100-000006000000}"/>
    <hyperlink ref="P11" r:id="rId8" xr:uid="{00000000-0004-0000-0100-000007000000}"/>
    <hyperlink ref="G12" r:id="rId9" xr:uid="{00000000-0004-0000-0100-000008000000}"/>
    <hyperlink ref="P12" r:id="rId10" xr:uid="{00000000-0004-0000-0100-000009000000}"/>
    <hyperlink ref="G13" r:id="rId11" xr:uid="{00000000-0004-0000-0100-00000A000000}"/>
    <hyperlink ref="P13" r:id="rId12" xr:uid="{00000000-0004-0000-0100-00000B000000}"/>
    <hyperlink ref="G14" r:id="rId13" xr:uid="{00000000-0004-0000-0100-00000C000000}"/>
    <hyperlink ref="P14" r:id="rId14" xr:uid="{00000000-0004-0000-0100-00000D000000}"/>
    <hyperlink ref="G15" r:id="rId15" xr:uid="{00000000-0004-0000-0100-00000E000000}"/>
    <hyperlink ref="P15" r:id="rId16" xr:uid="{00000000-0004-0000-0100-00000F000000}"/>
    <hyperlink ref="G16" r:id="rId17" xr:uid="{00000000-0004-0000-0100-000010000000}"/>
    <hyperlink ref="P16" r:id="rId18" xr:uid="{00000000-0004-0000-0100-000011000000}"/>
    <hyperlink ref="G17" r:id="rId19" xr:uid="{00000000-0004-0000-0100-000012000000}"/>
    <hyperlink ref="P17" r:id="rId20" xr:uid="{00000000-0004-0000-0100-000013000000}"/>
    <hyperlink ref="P18" r:id="rId21" xr:uid="{00000000-0004-0000-0100-000014000000}"/>
    <hyperlink ref="G19" r:id="rId22" xr:uid="{00000000-0004-0000-0100-000015000000}"/>
    <hyperlink ref="P19" r:id="rId23" xr:uid="{00000000-0004-0000-0100-000016000000}"/>
    <hyperlink ref="G20" r:id="rId24" xr:uid="{00000000-0004-0000-0100-000017000000}"/>
    <hyperlink ref="P20" r:id="rId25" xr:uid="{00000000-0004-0000-0100-000018000000}"/>
    <hyperlink ref="G21" r:id="rId26" xr:uid="{00000000-0004-0000-0100-000019000000}"/>
    <hyperlink ref="P21" r:id="rId27" xr:uid="{00000000-0004-0000-0100-00001A000000}"/>
    <hyperlink ref="G22" r:id="rId28" xr:uid="{00000000-0004-0000-0100-00001B000000}"/>
    <hyperlink ref="P22" r:id="rId29" xr:uid="{00000000-0004-0000-0100-00001C000000}"/>
    <hyperlink ref="P23" r:id="rId30" xr:uid="{00000000-0004-0000-0100-00001D000000}"/>
    <hyperlink ref="G24" r:id="rId31" xr:uid="{00000000-0004-0000-0100-00001E000000}"/>
    <hyperlink ref="P24" r:id="rId32" xr:uid="{00000000-0004-0000-0100-00001F000000}"/>
    <hyperlink ref="G25" r:id="rId33" xr:uid="{00000000-0004-0000-0100-000020000000}"/>
    <hyperlink ref="P25" r:id="rId34" xr:uid="{00000000-0004-0000-0100-000021000000}"/>
    <hyperlink ref="G26" r:id="rId35" xr:uid="{00000000-0004-0000-0100-000022000000}"/>
    <hyperlink ref="P26" r:id="rId36" xr:uid="{00000000-0004-0000-0100-000023000000}"/>
    <hyperlink ref="P27" r:id="rId37" xr:uid="{00000000-0004-0000-0100-000024000000}"/>
    <hyperlink ref="G28" r:id="rId38" xr:uid="{00000000-0004-0000-0100-000025000000}"/>
    <hyperlink ref="P28" r:id="rId39" xr:uid="{00000000-0004-0000-0100-000026000000}"/>
    <hyperlink ref="G29" r:id="rId40" xr:uid="{00000000-0004-0000-0100-000027000000}"/>
    <hyperlink ref="P29" r:id="rId41" xr:uid="{00000000-0004-0000-0100-000028000000}"/>
    <hyperlink ref="G30" r:id="rId42" xr:uid="{00000000-0004-0000-0100-000029000000}"/>
    <hyperlink ref="P30" r:id="rId43" xr:uid="{00000000-0004-0000-0100-00002A000000}"/>
    <hyperlink ref="P31" r:id="rId44" xr:uid="{00000000-0004-0000-0100-00002B000000}"/>
    <hyperlink ref="G32" r:id="rId45" xr:uid="{00000000-0004-0000-0100-00002C000000}"/>
    <hyperlink ref="G33" r:id="rId46" xr:uid="{00000000-0004-0000-0100-00002D000000}"/>
    <hyperlink ref="P33" r:id="rId47" xr:uid="{00000000-0004-0000-0100-00002E000000}"/>
    <hyperlink ref="G34" r:id="rId48" xr:uid="{00000000-0004-0000-0100-00002F000000}"/>
    <hyperlink ref="P34" r:id="rId49" xr:uid="{00000000-0004-0000-0100-000030000000}"/>
    <hyperlink ref="G35" r:id="rId50" xr:uid="{00000000-0004-0000-0100-000031000000}"/>
    <hyperlink ref="P35" r:id="rId51" xr:uid="{00000000-0004-0000-0100-000032000000}"/>
    <hyperlink ref="G36" r:id="rId52" xr:uid="{00000000-0004-0000-0100-000033000000}"/>
    <hyperlink ref="P36" r:id="rId53" xr:uid="{00000000-0004-0000-0100-000034000000}"/>
    <hyperlink ref="G37" r:id="rId54" xr:uid="{00000000-0004-0000-0100-000035000000}"/>
    <hyperlink ref="P37" r:id="rId55" xr:uid="{00000000-0004-0000-0100-000036000000}"/>
    <hyperlink ref="P38" r:id="rId56" xr:uid="{00000000-0004-0000-0100-000037000000}"/>
    <hyperlink ref="G39" r:id="rId57" xr:uid="{00000000-0004-0000-0100-000038000000}"/>
    <hyperlink ref="P39" r:id="rId58" xr:uid="{00000000-0004-0000-0100-000039000000}"/>
    <hyperlink ref="G40" r:id="rId59" xr:uid="{00000000-0004-0000-0100-00003A000000}"/>
    <hyperlink ref="P40" r:id="rId60" xr:uid="{00000000-0004-0000-0100-00003B000000}"/>
    <hyperlink ref="P41" r:id="rId61" xr:uid="{00000000-0004-0000-0100-00003C000000}"/>
    <hyperlink ref="G42" r:id="rId62" xr:uid="{00000000-0004-0000-0100-00003D000000}"/>
    <hyperlink ref="P42" r:id="rId63" xr:uid="{00000000-0004-0000-0100-00003E000000}"/>
    <hyperlink ref="G43" r:id="rId64" xr:uid="{00000000-0004-0000-0100-00003F000000}"/>
    <hyperlink ref="P43" r:id="rId65" xr:uid="{00000000-0004-0000-0100-000040000000}"/>
    <hyperlink ref="P44" r:id="rId66" xr:uid="{00000000-0004-0000-0100-000041000000}"/>
    <hyperlink ref="G45" r:id="rId67" xr:uid="{00000000-0004-0000-0100-000042000000}"/>
    <hyperlink ref="P45" r:id="rId68" xr:uid="{00000000-0004-0000-0100-000043000000}"/>
    <hyperlink ref="G46" r:id="rId69" xr:uid="{00000000-0004-0000-0100-000044000000}"/>
    <hyperlink ref="P46" r:id="rId70" xr:uid="{00000000-0004-0000-0100-000045000000}"/>
    <hyperlink ref="P47" r:id="rId71" xr:uid="{00000000-0004-0000-0100-000046000000}"/>
    <hyperlink ref="P48" r:id="rId72" xr:uid="{00000000-0004-0000-0100-000047000000}"/>
    <hyperlink ref="P49" r:id="rId73" xr:uid="{00000000-0004-0000-0100-000048000000}"/>
    <hyperlink ref="G50" r:id="rId74" xr:uid="{00000000-0004-0000-0100-000049000000}"/>
    <hyperlink ref="P50" r:id="rId75" xr:uid="{00000000-0004-0000-0100-00004A000000}"/>
    <hyperlink ref="P51" r:id="rId76" xr:uid="{00000000-0004-0000-0100-00004B000000}"/>
    <hyperlink ref="G52" r:id="rId77" xr:uid="{00000000-0004-0000-0100-00004C000000}"/>
    <hyperlink ref="P52" r:id="rId78" xr:uid="{00000000-0004-0000-0100-00004D000000}"/>
    <hyperlink ref="G53" r:id="rId79" xr:uid="{00000000-0004-0000-0100-00004E000000}"/>
    <hyperlink ref="P53" r:id="rId80" xr:uid="{00000000-0004-0000-0100-00004F000000}"/>
    <hyperlink ref="G54" r:id="rId81" xr:uid="{00000000-0004-0000-0100-000050000000}"/>
    <hyperlink ref="P54" r:id="rId82" xr:uid="{00000000-0004-0000-0100-000051000000}"/>
    <hyperlink ref="P55" r:id="rId83" xr:uid="{00000000-0004-0000-0100-000052000000}"/>
    <hyperlink ref="G56" r:id="rId84" xr:uid="{00000000-0004-0000-0100-000053000000}"/>
    <hyperlink ref="P56" r:id="rId85" xr:uid="{00000000-0004-0000-0100-000054000000}"/>
    <hyperlink ref="G57" r:id="rId86" xr:uid="{00000000-0004-0000-0100-000055000000}"/>
    <hyperlink ref="P57" r:id="rId87" xr:uid="{00000000-0004-0000-0100-000056000000}"/>
    <hyperlink ref="G58" r:id="rId88" xr:uid="{00000000-0004-0000-0100-000057000000}"/>
    <hyperlink ref="P58" r:id="rId89" xr:uid="{00000000-0004-0000-0100-000058000000}"/>
    <hyperlink ref="G59" r:id="rId90" xr:uid="{00000000-0004-0000-0100-000059000000}"/>
    <hyperlink ref="P59" r:id="rId91" xr:uid="{00000000-0004-0000-0100-00005A000000}"/>
    <hyperlink ref="P60" r:id="rId92" xr:uid="{00000000-0004-0000-0100-00005B000000}"/>
    <hyperlink ref="G61" r:id="rId93" xr:uid="{00000000-0004-0000-0100-00005C000000}"/>
    <hyperlink ref="P61" r:id="rId94" xr:uid="{00000000-0004-0000-0100-00005D000000}"/>
    <hyperlink ref="G62" r:id="rId95" xr:uid="{00000000-0004-0000-0100-00005E000000}"/>
    <hyperlink ref="P62" r:id="rId96" xr:uid="{00000000-0004-0000-0100-00005F000000}"/>
    <hyperlink ref="G63" r:id="rId97" xr:uid="{00000000-0004-0000-0100-000060000000}"/>
    <hyperlink ref="P63" r:id="rId98" xr:uid="{00000000-0004-0000-0100-000061000000}"/>
    <hyperlink ref="G64" r:id="rId99" xr:uid="{00000000-0004-0000-0100-000062000000}"/>
    <hyperlink ref="P65" r:id="rId100" xr:uid="{00000000-0004-0000-0100-000063000000}"/>
    <hyperlink ref="G66" r:id="rId101" xr:uid="{00000000-0004-0000-0100-000064000000}"/>
    <hyperlink ref="P66" r:id="rId102" xr:uid="{00000000-0004-0000-0100-000065000000}"/>
    <hyperlink ref="G67" r:id="rId103" xr:uid="{00000000-0004-0000-0100-000066000000}"/>
    <hyperlink ref="P67" r:id="rId104" xr:uid="{00000000-0004-0000-0100-000067000000}"/>
    <hyperlink ref="G68" r:id="rId105" xr:uid="{00000000-0004-0000-0100-000068000000}"/>
    <hyperlink ref="P68" r:id="rId106" xr:uid="{00000000-0004-0000-0100-000069000000}"/>
    <hyperlink ref="P69" r:id="rId107" xr:uid="{00000000-0004-0000-0100-00006A000000}"/>
    <hyperlink ref="G70" r:id="rId108" xr:uid="{00000000-0004-0000-0100-00006B000000}"/>
    <hyperlink ref="P70" r:id="rId109" xr:uid="{00000000-0004-0000-0100-00006C000000}"/>
    <hyperlink ref="G71" r:id="rId110" xr:uid="{00000000-0004-0000-0100-00006D000000}"/>
    <hyperlink ref="P71" r:id="rId111" xr:uid="{00000000-0004-0000-0100-00006E000000}"/>
    <hyperlink ref="G72" r:id="rId112" xr:uid="{00000000-0004-0000-0100-00006F000000}"/>
    <hyperlink ref="G73" r:id="rId113" xr:uid="{00000000-0004-0000-0100-000070000000}"/>
    <hyperlink ref="P73" r:id="rId114" xr:uid="{00000000-0004-0000-0100-000071000000}"/>
    <hyperlink ref="P74" r:id="rId115" xr:uid="{00000000-0004-0000-0100-000072000000}"/>
    <hyperlink ref="G75" r:id="rId116" xr:uid="{00000000-0004-0000-0100-000073000000}"/>
    <hyperlink ref="P75" r:id="rId117" xr:uid="{00000000-0004-0000-0100-000074000000}"/>
    <hyperlink ref="G76" r:id="rId118" xr:uid="{00000000-0004-0000-0100-000075000000}"/>
    <hyperlink ref="P76" r:id="rId119" xr:uid="{00000000-0004-0000-0100-000076000000}"/>
    <hyperlink ref="G77" r:id="rId120" xr:uid="{00000000-0004-0000-0100-000077000000}"/>
    <hyperlink ref="G78" r:id="rId121" xr:uid="{00000000-0004-0000-0100-000078000000}"/>
    <hyperlink ref="P78" r:id="rId122" xr:uid="{00000000-0004-0000-0100-000079000000}"/>
    <hyperlink ref="G79" r:id="rId123" xr:uid="{00000000-0004-0000-0100-00007A000000}"/>
    <hyperlink ref="P79" r:id="rId124" xr:uid="{00000000-0004-0000-0100-00007B000000}"/>
    <hyperlink ref="P80" r:id="rId125" xr:uid="{00000000-0004-0000-0100-00007C000000}"/>
    <hyperlink ref="G81" r:id="rId126" xr:uid="{00000000-0004-0000-0100-00007D000000}"/>
    <hyperlink ref="P81" r:id="rId127" xr:uid="{00000000-0004-0000-0100-00007E000000}"/>
    <hyperlink ref="G82" r:id="rId128" xr:uid="{00000000-0004-0000-0100-00007F000000}"/>
    <hyperlink ref="P82" r:id="rId129" xr:uid="{00000000-0004-0000-0100-000080000000}"/>
    <hyperlink ref="G83" r:id="rId130" xr:uid="{00000000-0004-0000-0100-000081000000}"/>
    <hyperlink ref="P83" r:id="rId131" xr:uid="{00000000-0004-0000-0100-000082000000}"/>
    <hyperlink ref="G84" r:id="rId132" xr:uid="{00000000-0004-0000-0100-000083000000}"/>
    <hyperlink ref="P84" r:id="rId133" xr:uid="{00000000-0004-0000-0100-000084000000}"/>
    <hyperlink ref="P85" r:id="rId134" xr:uid="{00000000-0004-0000-0100-000085000000}"/>
    <hyperlink ref="G86" r:id="rId135" xr:uid="{00000000-0004-0000-0100-000086000000}"/>
    <hyperlink ref="G87" r:id="rId136" xr:uid="{00000000-0004-0000-0100-000087000000}"/>
    <hyperlink ref="G88" r:id="rId137" xr:uid="{00000000-0004-0000-0100-000088000000}"/>
    <hyperlink ref="G89" r:id="rId138" xr:uid="{00000000-0004-0000-0100-000089000000}"/>
    <hyperlink ref="P89" r:id="rId139" xr:uid="{00000000-0004-0000-0100-00008A000000}"/>
    <hyperlink ref="G90" r:id="rId140" xr:uid="{00000000-0004-0000-0100-00008B000000}"/>
    <hyperlink ref="P91" r:id="rId141" xr:uid="{00000000-0004-0000-0100-00008C000000}"/>
    <hyperlink ref="G92" r:id="rId142" xr:uid="{00000000-0004-0000-0100-00008D000000}"/>
    <hyperlink ref="P92" r:id="rId143" xr:uid="{00000000-0004-0000-0100-00008E000000}"/>
    <hyperlink ref="G93" r:id="rId144" xr:uid="{00000000-0004-0000-0100-00008F000000}"/>
    <hyperlink ref="P93" r:id="rId145" xr:uid="{00000000-0004-0000-0100-000090000000}"/>
    <hyperlink ref="G94" r:id="rId146" xr:uid="{00000000-0004-0000-0100-000091000000}"/>
    <hyperlink ref="P94" r:id="rId147" xr:uid="{00000000-0004-0000-0100-000092000000}"/>
    <hyperlink ref="G95" r:id="rId148" xr:uid="{00000000-0004-0000-0100-000093000000}"/>
    <hyperlink ref="P95" r:id="rId149" xr:uid="{00000000-0004-0000-0100-000094000000}"/>
    <hyperlink ref="G96" r:id="rId150" xr:uid="{00000000-0004-0000-0100-000095000000}"/>
    <hyperlink ref="P97" r:id="rId151" xr:uid="{00000000-0004-0000-0100-000096000000}"/>
    <hyperlink ref="G98" r:id="rId152" xr:uid="{00000000-0004-0000-0100-000097000000}"/>
    <hyperlink ref="P98" r:id="rId153" xr:uid="{00000000-0004-0000-0100-000098000000}"/>
    <hyperlink ref="G99" r:id="rId154" xr:uid="{00000000-0004-0000-0100-000099000000}"/>
    <hyperlink ref="P99" r:id="rId155" xr:uid="{00000000-0004-0000-0100-00009A000000}"/>
    <hyperlink ref="G100" r:id="rId156" xr:uid="{00000000-0004-0000-0100-00009B000000}"/>
    <hyperlink ref="P100" r:id="rId157" xr:uid="{00000000-0004-0000-0100-00009C000000}"/>
    <hyperlink ref="G101" r:id="rId158" xr:uid="{00000000-0004-0000-0100-00009D000000}"/>
    <hyperlink ref="P101" r:id="rId159" xr:uid="{00000000-0004-0000-0100-00009E000000}"/>
    <hyperlink ref="G102" r:id="rId160" xr:uid="{00000000-0004-0000-0100-00009F000000}"/>
    <hyperlink ref="G103" r:id="rId161" xr:uid="{00000000-0004-0000-0100-0000A0000000}"/>
    <hyperlink ref="P103" r:id="rId162" xr:uid="{00000000-0004-0000-0100-0000A1000000}"/>
    <hyperlink ref="P104" r:id="rId163" xr:uid="{00000000-0004-0000-0100-0000A2000000}"/>
    <hyperlink ref="G105" r:id="rId164" xr:uid="{00000000-0004-0000-0100-0000A3000000}"/>
    <hyperlink ref="P105" r:id="rId165" xr:uid="{00000000-0004-0000-0100-0000A4000000}"/>
    <hyperlink ref="G106" r:id="rId166" xr:uid="{00000000-0004-0000-0100-0000A5000000}"/>
    <hyperlink ref="P106" r:id="rId167" xr:uid="{00000000-0004-0000-0100-0000A6000000}"/>
    <hyperlink ref="G107" r:id="rId168" xr:uid="{00000000-0004-0000-0100-0000A7000000}"/>
    <hyperlink ref="G108" r:id="rId169" xr:uid="{00000000-0004-0000-0100-0000A8000000}"/>
    <hyperlink ref="P108" r:id="rId170" xr:uid="{00000000-0004-0000-0100-0000A9000000}"/>
    <hyperlink ref="P109" r:id="rId171" xr:uid="{00000000-0004-0000-0100-0000AA000000}"/>
    <hyperlink ref="G110" r:id="rId172" xr:uid="{00000000-0004-0000-0100-0000AB000000}"/>
    <hyperlink ref="P110" r:id="rId173" xr:uid="{00000000-0004-0000-0100-0000AC000000}"/>
    <hyperlink ref="G111" r:id="rId174" xr:uid="{00000000-0004-0000-0100-0000AD000000}"/>
    <hyperlink ref="P111" r:id="rId175" xr:uid="{00000000-0004-0000-0100-0000AE000000}"/>
    <hyperlink ref="G112" r:id="rId176" xr:uid="{00000000-0004-0000-0100-0000AF000000}"/>
    <hyperlink ref="G113" r:id="rId177" xr:uid="{00000000-0004-0000-0100-0000B0000000}"/>
    <hyperlink ref="G114" r:id="rId178" xr:uid="{00000000-0004-0000-0100-0000B1000000}"/>
    <hyperlink ref="P114" r:id="rId179" xr:uid="{00000000-0004-0000-0100-0000B2000000}"/>
    <hyperlink ref="G115" r:id="rId180" xr:uid="{00000000-0004-0000-0100-0000B3000000}"/>
    <hyperlink ref="P115" r:id="rId181" xr:uid="{00000000-0004-0000-0100-0000B4000000}"/>
    <hyperlink ref="P116" r:id="rId182" xr:uid="{00000000-0004-0000-0100-0000B5000000}"/>
    <hyperlink ref="G117" r:id="rId183" xr:uid="{00000000-0004-0000-0100-0000B6000000}"/>
    <hyperlink ref="P117" r:id="rId184" xr:uid="{00000000-0004-0000-0100-0000B7000000}"/>
    <hyperlink ref="G118" r:id="rId185" xr:uid="{00000000-0004-0000-0100-0000B8000000}"/>
    <hyperlink ref="P118" r:id="rId186" xr:uid="{00000000-0004-0000-0100-0000B9000000}"/>
    <hyperlink ref="G119" r:id="rId187" xr:uid="{00000000-0004-0000-0100-0000BA000000}"/>
    <hyperlink ref="P119" r:id="rId188" xr:uid="{00000000-0004-0000-0100-0000BB000000}"/>
    <hyperlink ref="G120" r:id="rId189" xr:uid="{00000000-0004-0000-0100-0000BC000000}"/>
    <hyperlink ref="P120" r:id="rId190" xr:uid="{00000000-0004-0000-0100-0000BD000000}"/>
    <hyperlink ref="G121" r:id="rId191" xr:uid="{00000000-0004-0000-0100-0000BE000000}"/>
    <hyperlink ref="P121" r:id="rId192" xr:uid="{00000000-0004-0000-0100-0000BF000000}"/>
    <hyperlink ref="P122" r:id="rId193" xr:uid="{00000000-0004-0000-0100-0000C0000000}"/>
    <hyperlink ref="G123" r:id="rId194" xr:uid="{00000000-0004-0000-0100-0000C1000000}"/>
    <hyperlink ref="P123" r:id="rId195" xr:uid="{00000000-0004-0000-0100-0000C2000000}"/>
    <hyperlink ref="G124" r:id="rId196" xr:uid="{00000000-0004-0000-0100-0000C3000000}"/>
    <hyperlink ref="P124" r:id="rId197" xr:uid="{00000000-0004-0000-0100-0000C4000000}"/>
    <hyperlink ref="G125" r:id="rId198" xr:uid="{00000000-0004-0000-0100-0000C5000000}"/>
    <hyperlink ref="P125" r:id="rId199" xr:uid="{00000000-0004-0000-0100-0000C6000000}"/>
    <hyperlink ref="G126" r:id="rId200" xr:uid="{00000000-0004-0000-0100-0000C7000000}"/>
    <hyperlink ref="P126" r:id="rId201" xr:uid="{00000000-0004-0000-0100-0000C8000000}"/>
    <hyperlink ref="G127" r:id="rId202" xr:uid="{00000000-0004-0000-0100-0000C9000000}"/>
    <hyperlink ref="P127" r:id="rId203" xr:uid="{00000000-0004-0000-0100-0000CA000000}"/>
    <hyperlink ref="P128" r:id="rId204" xr:uid="{00000000-0004-0000-0100-0000CB000000}"/>
    <hyperlink ref="G129" r:id="rId205" xr:uid="{00000000-0004-0000-0100-0000CC000000}"/>
    <hyperlink ref="P129" r:id="rId206" xr:uid="{00000000-0004-0000-0100-0000CD000000}"/>
    <hyperlink ref="G130" r:id="rId207" xr:uid="{00000000-0004-0000-0100-0000CE000000}"/>
    <hyperlink ref="P130" r:id="rId208" xr:uid="{00000000-0004-0000-0100-0000CF000000}"/>
    <hyperlink ref="G131" r:id="rId209" xr:uid="{00000000-0004-0000-0100-0000D0000000}"/>
    <hyperlink ref="P131" r:id="rId210" xr:uid="{00000000-0004-0000-0100-0000D1000000}"/>
    <hyperlink ref="P132" r:id="rId211" xr:uid="{00000000-0004-0000-0100-0000D2000000}"/>
    <hyperlink ref="G133" r:id="rId212" xr:uid="{00000000-0004-0000-0100-0000D3000000}"/>
    <hyperlink ref="P133" r:id="rId213" xr:uid="{00000000-0004-0000-0100-0000D4000000}"/>
    <hyperlink ref="G134" r:id="rId214" xr:uid="{00000000-0004-0000-0100-0000D5000000}"/>
    <hyperlink ref="P134" r:id="rId215" xr:uid="{00000000-0004-0000-0100-0000D6000000}"/>
    <hyperlink ref="G135" r:id="rId216" xr:uid="{00000000-0004-0000-0100-0000D7000000}"/>
    <hyperlink ref="G136" r:id="rId217" xr:uid="{00000000-0004-0000-0100-0000D8000000}"/>
    <hyperlink ref="P136" r:id="rId218" xr:uid="{00000000-0004-0000-0100-0000D9000000}"/>
    <hyperlink ref="G137" r:id="rId219" xr:uid="{00000000-0004-0000-0100-0000DA000000}"/>
    <hyperlink ref="P137" r:id="rId220" xr:uid="{00000000-0004-0000-0100-0000DB000000}"/>
    <hyperlink ref="P138" r:id="rId221" xr:uid="{00000000-0004-0000-0100-0000DC000000}"/>
    <hyperlink ref="G139" r:id="rId222" xr:uid="{00000000-0004-0000-0100-0000DD000000}"/>
    <hyperlink ref="P139" r:id="rId223" xr:uid="{00000000-0004-0000-0100-0000DE000000}"/>
    <hyperlink ref="G140" r:id="rId224" xr:uid="{00000000-0004-0000-0100-0000DF000000}"/>
    <hyperlink ref="P140" r:id="rId225" xr:uid="{00000000-0004-0000-0100-0000E0000000}"/>
    <hyperlink ref="G141" r:id="rId226" xr:uid="{00000000-0004-0000-0100-0000E1000000}"/>
    <hyperlink ref="P141" r:id="rId227" xr:uid="{00000000-0004-0000-0100-0000E2000000}"/>
    <hyperlink ref="G142" r:id="rId228" xr:uid="{00000000-0004-0000-0100-0000E3000000}"/>
    <hyperlink ref="P142" r:id="rId229" xr:uid="{00000000-0004-0000-0100-0000E4000000}"/>
    <hyperlink ref="P143" r:id="rId230" xr:uid="{00000000-0004-0000-0100-0000E5000000}"/>
    <hyperlink ref="G144" r:id="rId231" xr:uid="{00000000-0004-0000-0100-0000E6000000}"/>
    <hyperlink ref="P144" r:id="rId232" xr:uid="{00000000-0004-0000-0100-0000E7000000}"/>
    <hyperlink ref="G145" r:id="rId233" xr:uid="{00000000-0004-0000-0100-0000E8000000}"/>
    <hyperlink ref="P145" r:id="rId234" xr:uid="{00000000-0004-0000-0100-0000E9000000}"/>
    <hyperlink ref="G146" r:id="rId235" xr:uid="{00000000-0004-0000-0100-0000EA000000}"/>
    <hyperlink ref="P146" r:id="rId236" xr:uid="{00000000-0004-0000-0100-0000EB000000}"/>
    <hyperlink ref="G147" r:id="rId237" xr:uid="{00000000-0004-0000-0100-0000EC000000}"/>
    <hyperlink ref="P147" r:id="rId238" xr:uid="{00000000-0004-0000-0100-0000ED000000}"/>
    <hyperlink ref="G149" r:id="rId239" xr:uid="{00000000-0004-0000-0100-0000EE000000}"/>
    <hyperlink ref="P149" r:id="rId240" xr:uid="{00000000-0004-0000-0100-0000EF000000}"/>
    <hyperlink ref="P150" r:id="rId241" xr:uid="{00000000-0004-0000-0100-0000F0000000}"/>
    <hyperlink ref="G151" r:id="rId242" xr:uid="{00000000-0004-0000-0100-0000F1000000}"/>
    <hyperlink ref="P151" r:id="rId243" xr:uid="{00000000-0004-0000-0100-0000F2000000}"/>
    <hyperlink ref="G152" r:id="rId244" xr:uid="{00000000-0004-0000-0100-0000F3000000}"/>
    <hyperlink ref="P152" r:id="rId245" xr:uid="{00000000-0004-0000-0100-0000F4000000}"/>
    <hyperlink ref="G153" r:id="rId246" xr:uid="{00000000-0004-0000-0100-0000F5000000}"/>
    <hyperlink ref="P153" r:id="rId247" xr:uid="{00000000-0004-0000-0100-0000F6000000}"/>
    <hyperlink ref="P154" r:id="rId248" xr:uid="{00000000-0004-0000-0100-0000F7000000}"/>
    <hyperlink ref="G155" r:id="rId249" xr:uid="{00000000-0004-0000-0100-0000F8000000}"/>
    <hyperlink ref="P155" r:id="rId250" xr:uid="{00000000-0004-0000-0100-0000F9000000}"/>
    <hyperlink ref="G156" r:id="rId251" xr:uid="{00000000-0004-0000-0100-0000FA000000}"/>
    <hyperlink ref="P156" r:id="rId252" xr:uid="{00000000-0004-0000-0100-0000FB000000}"/>
    <hyperlink ref="G157" r:id="rId253" xr:uid="{00000000-0004-0000-0100-0000FC000000}"/>
    <hyperlink ref="G158" r:id="rId254" xr:uid="{00000000-0004-0000-0100-0000FD000000}"/>
    <hyperlink ref="P158" r:id="rId255" xr:uid="{00000000-0004-0000-0100-0000FE000000}"/>
    <hyperlink ref="P159" r:id="rId256" xr:uid="{00000000-0004-0000-0100-0000FF000000}"/>
    <hyperlink ref="G160" r:id="rId257" xr:uid="{00000000-0004-0000-0100-000000010000}"/>
    <hyperlink ref="P160" r:id="rId258" xr:uid="{00000000-0004-0000-0100-000001010000}"/>
    <hyperlink ref="G161" r:id="rId259" xr:uid="{00000000-0004-0000-0100-000002010000}"/>
    <hyperlink ref="P161" r:id="rId260" xr:uid="{00000000-0004-0000-0100-000003010000}"/>
    <hyperlink ref="G162" r:id="rId261" xr:uid="{00000000-0004-0000-0100-000004010000}"/>
    <hyperlink ref="P162" r:id="rId262" xr:uid="{00000000-0004-0000-0100-000005010000}"/>
    <hyperlink ref="G163" r:id="rId263" xr:uid="{00000000-0004-0000-0100-000006010000}"/>
    <hyperlink ref="P163" r:id="rId264" xr:uid="{00000000-0004-0000-0100-000007010000}"/>
    <hyperlink ref="P164" r:id="rId265" xr:uid="{00000000-0004-0000-0100-000008010000}"/>
    <hyperlink ref="G165" r:id="rId266" xr:uid="{00000000-0004-0000-0100-000009010000}"/>
    <hyperlink ref="P165" r:id="rId267" xr:uid="{00000000-0004-0000-0100-00000A010000}"/>
    <hyperlink ref="G166" r:id="rId268" xr:uid="{00000000-0004-0000-0100-00000B010000}"/>
    <hyperlink ref="P166" r:id="rId269" xr:uid="{00000000-0004-0000-0100-00000C010000}"/>
    <hyperlink ref="G167" r:id="rId270" xr:uid="{00000000-0004-0000-0100-00000D010000}"/>
    <hyperlink ref="P167" r:id="rId271" xr:uid="{00000000-0004-0000-0100-00000E010000}"/>
    <hyperlink ref="G168" r:id="rId272" xr:uid="{00000000-0004-0000-0100-00000F010000}"/>
    <hyperlink ref="P168" r:id="rId273" xr:uid="{00000000-0004-0000-0100-000010010000}"/>
    <hyperlink ref="P169" r:id="rId274" xr:uid="{00000000-0004-0000-0100-000011010000}"/>
    <hyperlink ref="G170" r:id="rId275" xr:uid="{00000000-0004-0000-0100-000012010000}"/>
    <hyperlink ref="P170" r:id="rId276" xr:uid="{00000000-0004-0000-0100-000013010000}"/>
    <hyperlink ref="G172" r:id="rId277" xr:uid="{00000000-0004-0000-0100-000014010000}"/>
    <hyperlink ref="P172" r:id="rId278" xr:uid="{00000000-0004-0000-0100-000015010000}"/>
    <hyperlink ref="G173" r:id="rId279" xr:uid="{00000000-0004-0000-0100-000016010000}"/>
    <hyperlink ref="P173" r:id="rId280" xr:uid="{00000000-0004-0000-0100-000017010000}"/>
    <hyperlink ref="G174" r:id="rId281" xr:uid="{00000000-0004-0000-0100-000018010000}"/>
    <hyperlink ref="P174" r:id="rId282" xr:uid="{00000000-0004-0000-0100-000019010000}"/>
    <hyperlink ref="G177" r:id="rId283" xr:uid="{00000000-0004-0000-0100-00001A010000}"/>
    <hyperlink ref="P177" r:id="rId284" xr:uid="{00000000-0004-0000-0100-00001B010000}"/>
    <hyperlink ref="G178" r:id="rId285" xr:uid="{00000000-0004-0000-0100-00001C010000}"/>
    <hyperlink ref="P178" r:id="rId286" xr:uid="{00000000-0004-0000-0100-00001D010000}"/>
    <hyperlink ref="G179" r:id="rId287" xr:uid="{00000000-0004-0000-0100-00001E010000}"/>
    <hyperlink ref="G180" r:id="rId288" xr:uid="{00000000-0004-0000-0100-00001F010000}"/>
    <hyperlink ref="P180" r:id="rId289" xr:uid="{00000000-0004-0000-0100-000020010000}"/>
    <hyperlink ref="G181" r:id="rId290" xr:uid="{00000000-0004-0000-0100-000021010000}"/>
    <hyperlink ref="P181" r:id="rId291" xr:uid="{00000000-0004-0000-0100-000022010000}"/>
    <hyperlink ref="G183" r:id="rId292" xr:uid="{00000000-0004-0000-0100-000023010000}"/>
    <hyperlink ref="P183" r:id="rId293" xr:uid="{00000000-0004-0000-0100-000024010000}"/>
    <hyperlink ref="G186" r:id="rId294" xr:uid="{00000000-0004-0000-0100-000025010000}"/>
  </hyperlinks>
  <printOptions horizontalCentered="1" verticalCentered="1"/>
  <pageMargins left="0.261811024" right="0.511811023622047" top="0" bottom="0" header="0" footer="0"/>
  <pageSetup paperSize="9" orientation="portrait"/>
  <drawing r:id="rId295"/>
  <legacyDrawing r:id="rId2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900FF"/>
    <outlinePr summaryBelow="0" summaryRight="0"/>
  </sheetPr>
  <dimension ref="A1:I75"/>
  <sheetViews>
    <sheetView showGridLines="0" workbookViewId="0"/>
  </sheetViews>
  <sheetFormatPr defaultColWidth="10.09765625" defaultRowHeight="15" customHeight="1"/>
  <cols>
    <col min="1" max="1" width="4" customWidth="1"/>
    <col min="2" max="2" width="20.59765625" customWidth="1"/>
    <col min="3" max="3" width="13.296875" customWidth="1"/>
    <col min="4" max="4" width="10.09765625" customWidth="1"/>
    <col min="5" max="5" width="76.796875" customWidth="1"/>
    <col min="6" max="6" width="11.8984375" customWidth="1"/>
    <col min="7" max="7" width="4.19921875" customWidth="1"/>
    <col min="8" max="8" width="21.796875" customWidth="1"/>
    <col min="9" max="9" width="3.19921875" customWidth="1"/>
  </cols>
  <sheetData>
    <row r="1" spans="1:8" ht="15" customHeight="1">
      <c r="A1" s="2">
        <f>'TSLINES UPDATE DELAY&amp;CUTOFF SCH'!P4</f>
        <v>46286</v>
      </c>
      <c r="C1" s="3"/>
      <c r="D1" s="3"/>
      <c r="E1" s="4"/>
      <c r="G1" s="4"/>
      <c r="H1" s="5"/>
    </row>
    <row r="2" spans="1:8" ht="15" customHeight="1">
      <c r="C2" s="6"/>
      <c r="D2" s="539" t="s">
        <v>2</v>
      </c>
      <c r="E2" s="481"/>
      <c r="F2" s="6"/>
      <c r="G2" s="6"/>
      <c r="H2" s="5"/>
    </row>
    <row r="3" spans="1:8" ht="15" customHeight="1">
      <c r="C3" s="6"/>
      <c r="D3" s="481"/>
      <c r="E3" s="481"/>
      <c r="F3" s="6"/>
      <c r="G3" s="6"/>
      <c r="H3" s="5"/>
    </row>
    <row r="4" spans="1:8" ht="15" customHeight="1">
      <c r="C4" s="6"/>
      <c r="D4" s="6"/>
      <c r="E4" s="6"/>
      <c r="F4" s="6"/>
      <c r="G4" s="6"/>
      <c r="H4" s="5"/>
    </row>
    <row r="5" spans="1:8" ht="15" customHeight="1">
      <c r="C5" s="3"/>
      <c r="D5" s="3"/>
      <c r="E5" s="4"/>
      <c r="G5" s="4"/>
      <c r="H5" s="5"/>
    </row>
    <row r="6" spans="1:8" ht="15" customHeight="1">
      <c r="B6" s="11" t="s">
        <v>4</v>
      </c>
      <c r="C6" s="13"/>
      <c r="D6" s="13"/>
      <c r="E6" s="14"/>
      <c r="F6" s="21"/>
      <c r="G6" s="24"/>
      <c r="H6" s="27"/>
    </row>
    <row r="7" spans="1:8" ht="15" customHeight="1">
      <c r="B7" s="29" t="s">
        <v>16</v>
      </c>
      <c r="C7" s="30"/>
      <c r="D7" s="30"/>
      <c r="E7" s="30" t="s">
        <v>20</v>
      </c>
      <c r="F7" s="30" t="s">
        <v>72</v>
      </c>
      <c r="G7" s="37" t="s">
        <v>73</v>
      </c>
      <c r="H7" s="40" t="s">
        <v>74</v>
      </c>
    </row>
    <row r="8" spans="1:8" ht="15" customHeight="1">
      <c r="B8" s="42" t="s">
        <v>79</v>
      </c>
      <c r="C8" s="43" t="s">
        <v>84</v>
      </c>
      <c r="D8" s="44" t="s">
        <v>88</v>
      </c>
      <c r="E8" s="44" t="s">
        <v>89</v>
      </c>
      <c r="F8" s="48" t="s">
        <v>90</v>
      </c>
      <c r="G8" s="49">
        <v>183</v>
      </c>
      <c r="H8" s="52" t="s">
        <v>101</v>
      </c>
    </row>
    <row r="9" spans="1:8" ht="15" customHeight="1">
      <c r="B9" s="29" t="s">
        <v>104</v>
      </c>
      <c r="C9" s="540" t="s">
        <v>105</v>
      </c>
      <c r="D9" s="481"/>
      <c r="E9" s="30" t="s">
        <v>20</v>
      </c>
      <c r="F9" s="30" t="s">
        <v>72</v>
      </c>
      <c r="G9" s="37" t="s">
        <v>73</v>
      </c>
      <c r="H9" s="40" t="s">
        <v>74</v>
      </c>
    </row>
    <row r="10" spans="1:8" ht="15" customHeight="1">
      <c r="B10" s="42" t="s">
        <v>106</v>
      </c>
      <c r="C10" s="43" t="s">
        <v>107</v>
      </c>
      <c r="D10" s="44" t="s">
        <v>108</v>
      </c>
      <c r="E10" s="44" t="s">
        <v>109</v>
      </c>
      <c r="F10" s="48" t="s">
        <v>110</v>
      </c>
      <c r="G10" s="49">
        <v>154</v>
      </c>
      <c r="H10" s="52" t="s">
        <v>111</v>
      </c>
    </row>
    <row r="11" spans="1:8" ht="15" customHeight="1">
      <c r="B11" s="42" t="s">
        <v>113</v>
      </c>
      <c r="C11" s="44" t="s">
        <v>114</v>
      </c>
      <c r="D11" s="44" t="s">
        <v>115</v>
      </c>
      <c r="E11" s="43" t="s">
        <v>116</v>
      </c>
      <c r="F11" s="55" t="s">
        <v>117</v>
      </c>
      <c r="G11" s="49">
        <v>153</v>
      </c>
      <c r="H11" s="52" t="s">
        <v>128</v>
      </c>
    </row>
    <row r="12" spans="1:8" ht="15" customHeight="1">
      <c r="B12" s="42" t="s">
        <v>113</v>
      </c>
      <c r="C12" s="43" t="s">
        <v>129</v>
      </c>
      <c r="D12" s="44" t="s">
        <v>131</v>
      </c>
      <c r="E12" s="44" t="s">
        <v>132</v>
      </c>
      <c r="F12" s="48" t="s">
        <v>133</v>
      </c>
      <c r="G12" s="49">
        <v>151</v>
      </c>
      <c r="H12" s="52" t="s">
        <v>134</v>
      </c>
    </row>
    <row r="13" spans="1:8" ht="15" customHeight="1">
      <c r="B13" s="29" t="s">
        <v>136</v>
      </c>
      <c r="C13" s="540" t="s">
        <v>137</v>
      </c>
      <c r="D13" s="481"/>
      <c r="E13" s="30" t="s">
        <v>20</v>
      </c>
      <c r="F13" s="30" t="s">
        <v>72</v>
      </c>
      <c r="G13" s="37" t="s">
        <v>73</v>
      </c>
      <c r="H13" s="40" t="s">
        <v>74</v>
      </c>
    </row>
    <row r="14" spans="1:8" ht="15" customHeight="1">
      <c r="B14" s="42" t="s">
        <v>138</v>
      </c>
      <c r="C14" s="43" t="s">
        <v>139</v>
      </c>
      <c r="D14" s="44" t="s">
        <v>140</v>
      </c>
      <c r="E14" s="44" t="s">
        <v>141</v>
      </c>
      <c r="F14" s="48" t="s">
        <v>142</v>
      </c>
      <c r="G14" s="49">
        <v>186</v>
      </c>
      <c r="H14" s="52" t="s">
        <v>143</v>
      </c>
    </row>
    <row r="15" spans="1:8" ht="15" customHeight="1">
      <c r="B15" s="42" t="s">
        <v>144</v>
      </c>
      <c r="C15" s="43" t="s">
        <v>145</v>
      </c>
      <c r="D15" s="44" t="s">
        <v>146</v>
      </c>
      <c r="E15" s="44" t="s">
        <v>141</v>
      </c>
      <c r="F15" s="48" t="s">
        <v>147</v>
      </c>
      <c r="G15" s="49">
        <v>201</v>
      </c>
      <c r="H15" s="52" t="s">
        <v>148</v>
      </c>
    </row>
    <row r="16" spans="1:8" ht="15" customHeight="1">
      <c r="B16" s="42" t="s">
        <v>144</v>
      </c>
      <c r="C16" s="43" t="s">
        <v>149</v>
      </c>
      <c r="D16" s="44" t="s">
        <v>150</v>
      </c>
      <c r="E16" s="44" t="s">
        <v>141</v>
      </c>
      <c r="F16" s="48" t="s">
        <v>151</v>
      </c>
      <c r="G16" s="49">
        <v>156</v>
      </c>
      <c r="H16" s="52" t="s">
        <v>152</v>
      </c>
    </row>
    <row r="17" spans="2:8" ht="15" customHeight="1">
      <c r="B17" s="42" t="s">
        <v>153</v>
      </c>
      <c r="C17" s="43" t="s">
        <v>154</v>
      </c>
      <c r="D17" s="44" t="s">
        <v>155</v>
      </c>
      <c r="E17" s="44" t="s">
        <v>156</v>
      </c>
      <c r="F17" s="48" t="s">
        <v>157</v>
      </c>
      <c r="G17" s="49">
        <v>182</v>
      </c>
      <c r="H17" s="52" t="s">
        <v>158</v>
      </c>
    </row>
    <row r="18" spans="2:8" ht="15" customHeight="1">
      <c r="B18" s="42" t="s">
        <v>113</v>
      </c>
      <c r="C18" s="43" t="s">
        <v>159</v>
      </c>
      <c r="D18" s="44" t="s">
        <v>160</v>
      </c>
      <c r="E18" s="43" t="s">
        <v>161</v>
      </c>
      <c r="F18" s="55" t="s">
        <v>162</v>
      </c>
      <c r="G18" s="49">
        <v>213</v>
      </c>
      <c r="H18" s="52" t="s">
        <v>163</v>
      </c>
    </row>
    <row r="19" spans="2:8" ht="15" customHeight="1">
      <c r="B19" s="42" t="s">
        <v>113</v>
      </c>
      <c r="C19" s="43" t="s">
        <v>164</v>
      </c>
      <c r="D19" s="44" t="s">
        <v>165</v>
      </c>
      <c r="E19" s="43" t="s">
        <v>166</v>
      </c>
      <c r="F19" s="48" t="s">
        <v>167</v>
      </c>
      <c r="G19" s="49">
        <v>311</v>
      </c>
      <c r="H19" s="52" t="s">
        <v>168</v>
      </c>
    </row>
    <row r="20" spans="2:8" ht="15" customHeight="1">
      <c r="B20" s="42" t="s">
        <v>113</v>
      </c>
      <c r="C20" s="43" t="s">
        <v>169</v>
      </c>
      <c r="D20" s="44" t="s">
        <v>171</v>
      </c>
      <c r="E20" s="43" t="s">
        <v>172</v>
      </c>
      <c r="F20" s="48" t="s">
        <v>173</v>
      </c>
      <c r="G20" s="49">
        <v>217</v>
      </c>
      <c r="H20" s="52" t="s">
        <v>174</v>
      </c>
    </row>
    <row r="21" spans="2:8" ht="15" customHeight="1">
      <c r="B21" s="42" t="s">
        <v>113</v>
      </c>
      <c r="C21" s="44" t="s">
        <v>175</v>
      </c>
      <c r="D21" s="44" t="s">
        <v>176</v>
      </c>
      <c r="E21" s="43" t="s">
        <v>177</v>
      </c>
      <c r="F21" s="48" t="s">
        <v>178</v>
      </c>
      <c r="G21" s="49">
        <v>152</v>
      </c>
      <c r="H21" s="52" t="s">
        <v>179</v>
      </c>
    </row>
    <row r="22" spans="2:8" ht="15" customHeight="1">
      <c r="B22" s="29" t="s">
        <v>180</v>
      </c>
      <c r="C22" s="540" t="s">
        <v>181</v>
      </c>
      <c r="D22" s="481"/>
      <c r="E22" s="30" t="s">
        <v>20</v>
      </c>
      <c r="F22" s="30" t="s">
        <v>72</v>
      </c>
      <c r="G22" s="37" t="s">
        <v>73</v>
      </c>
      <c r="H22" s="40" t="s">
        <v>74</v>
      </c>
    </row>
    <row r="23" spans="2:8" ht="15" customHeight="1">
      <c r="B23" s="42" t="s">
        <v>182</v>
      </c>
      <c r="C23" s="43" t="s">
        <v>183</v>
      </c>
      <c r="D23" s="44" t="s">
        <v>184</v>
      </c>
      <c r="E23" s="43" t="s">
        <v>185</v>
      </c>
      <c r="F23" s="48" t="s">
        <v>186</v>
      </c>
      <c r="G23" s="49">
        <v>218</v>
      </c>
      <c r="H23" s="52" t="s">
        <v>187</v>
      </c>
    </row>
    <row r="24" spans="2:8" ht="15" customHeight="1">
      <c r="B24" s="42" t="s">
        <v>188</v>
      </c>
      <c r="C24" s="43" t="s">
        <v>189</v>
      </c>
      <c r="D24" s="44" t="s">
        <v>190</v>
      </c>
      <c r="E24" s="43" t="s">
        <v>191</v>
      </c>
      <c r="F24" s="48" t="s">
        <v>192</v>
      </c>
      <c r="G24" s="49">
        <v>208</v>
      </c>
      <c r="H24" s="52" t="s">
        <v>193</v>
      </c>
    </row>
    <row r="25" spans="2:8" ht="15" customHeight="1">
      <c r="B25" s="29" t="s">
        <v>194</v>
      </c>
      <c r="C25" s="540" t="s">
        <v>195</v>
      </c>
      <c r="D25" s="481"/>
      <c r="E25" s="30" t="s">
        <v>20</v>
      </c>
      <c r="F25" s="30" t="s">
        <v>72</v>
      </c>
      <c r="G25" s="37" t="s">
        <v>73</v>
      </c>
      <c r="H25" s="40" t="s">
        <v>74</v>
      </c>
    </row>
    <row r="26" spans="2:8" ht="15" customHeight="1">
      <c r="B26" s="42" t="s">
        <v>196</v>
      </c>
      <c r="C26" s="43" t="s">
        <v>197</v>
      </c>
      <c r="D26" s="44" t="s">
        <v>198</v>
      </c>
      <c r="E26" s="44" t="s">
        <v>199</v>
      </c>
      <c r="F26" s="55" t="s">
        <v>200</v>
      </c>
      <c r="G26" s="68">
        <v>140</v>
      </c>
      <c r="H26" s="52" t="s">
        <v>206</v>
      </c>
    </row>
    <row r="27" spans="2:8" ht="15" customHeight="1">
      <c r="B27" s="42" t="s">
        <v>196</v>
      </c>
      <c r="C27" s="44" t="s">
        <v>207</v>
      </c>
      <c r="D27" s="44" t="s">
        <v>208</v>
      </c>
      <c r="E27" s="44" t="s">
        <v>209</v>
      </c>
      <c r="F27" s="55" t="s">
        <v>210</v>
      </c>
      <c r="G27" s="49">
        <v>207</v>
      </c>
      <c r="H27" s="52" t="s">
        <v>211</v>
      </c>
    </row>
    <row r="28" spans="2:8" ht="15" customHeight="1">
      <c r="B28" s="29" t="s">
        <v>214</v>
      </c>
      <c r="C28" s="540" t="s">
        <v>215</v>
      </c>
      <c r="D28" s="481"/>
      <c r="E28" s="30" t="s">
        <v>20</v>
      </c>
      <c r="F28" s="30" t="s">
        <v>72</v>
      </c>
      <c r="G28" s="37" t="s">
        <v>73</v>
      </c>
      <c r="H28" s="40" t="s">
        <v>74</v>
      </c>
    </row>
    <row r="29" spans="2:8" ht="15" customHeight="1">
      <c r="B29" s="42" t="s">
        <v>216</v>
      </c>
      <c r="C29" s="43" t="s">
        <v>217</v>
      </c>
      <c r="D29" s="44" t="s">
        <v>218</v>
      </c>
      <c r="E29" s="44" t="s">
        <v>219</v>
      </c>
      <c r="F29" s="55" t="s">
        <v>220</v>
      </c>
      <c r="G29" s="49">
        <v>120</v>
      </c>
      <c r="H29" s="52" t="s">
        <v>221</v>
      </c>
    </row>
    <row r="30" spans="2:8" ht="15" customHeight="1">
      <c r="B30" s="74" t="s">
        <v>196</v>
      </c>
      <c r="C30" s="43" t="s">
        <v>223</v>
      </c>
      <c r="D30" s="43" t="s">
        <v>224</v>
      </c>
      <c r="E30" s="43" t="s">
        <v>225</v>
      </c>
      <c r="F30" s="55" t="s">
        <v>226</v>
      </c>
      <c r="G30" s="49">
        <v>122</v>
      </c>
      <c r="H30" s="52" t="s">
        <v>227</v>
      </c>
    </row>
    <row r="31" spans="2:8" ht="15" customHeight="1">
      <c r="B31" s="74" t="s">
        <v>196</v>
      </c>
      <c r="C31" s="43" t="s">
        <v>228</v>
      </c>
      <c r="D31" s="44" t="s">
        <v>229</v>
      </c>
      <c r="E31" s="44" t="s">
        <v>230</v>
      </c>
      <c r="F31" s="55" t="s">
        <v>231</v>
      </c>
      <c r="G31" s="49">
        <v>124</v>
      </c>
      <c r="H31" s="52" t="s">
        <v>232</v>
      </c>
    </row>
    <row r="32" spans="2:8" ht="15" customHeight="1">
      <c r="B32" s="42" t="s">
        <v>196</v>
      </c>
      <c r="C32" s="43" t="s">
        <v>233</v>
      </c>
      <c r="D32" s="44" t="s">
        <v>234</v>
      </c>
      <c r="E32" s="44" t="s">
        <v>235</v>
      </c>
      <c r="F32" s="55" t="s">
        <v>236</v>
      </c>
      <c r="G32" s="49">
        <v>125</v>
      </c>
      <c r="H32" s="52" t="s">
        <v>237</v>
      </c>
    </row>
    <row r="33" spans="2:8" ht="15" customHeight="1">
      <c r="B33" s="42" t="s">
        <v>196</v>
      </c>
      <c r="C33" s="43" t="s">
        <v>238</v>
      </c>
      <c r="D33" s="44" t="s">
        <v>239</v>
      </c>
      <c r="E33" s="44" t="s">
        <v>240</v>
      </c>
      <c r="F33" s="55" t="s">
        <v>241</v>
      </c>
      <c r="G33" s="49">
        <v>121</v>
      </c>
      <c r="H33" s="52" t="s">
        <v>242</v>
      </c>
    </row>
    <row r="34" spans="2:8" ht="15" customHeight="1">
      <c r="B34" s="77" t="s">
        <v>243</v>
      </c>
      <c r="C34" s="82"/>
      <c r="D34" s="82"/>
      <c r="E34" s="82" t="s">
        <v>20</v>
      </c>
      <c r="F34" s="82"/>
      <c r="G34" s="91"/>
      <c r="H34" s="93"/>
    </row>
    <row r="35" spans="2:8" ht="15" customHeight="1">
      <c r="B35" s="77" t="s">
        <v>253</v>
      </c>
      <c r="C35" s="541" t="s">
        <v>254</v>
      </c>
      <c r="D35" s="481"/>
      <c r="E35" s="481"/>
      <c r="F35" s="82" t="s">
        <v>72</v>
      </c>
      <c r="G35" s="91" t="s">
        <v>73</v>
      </c>
      <c r="H35" s="93" t="s">
        <v>74</v>
      </c>
    </row>
    <row r="36" spans="2:8" ht="15" customHeight="1">
      <c r="B36" s="42" t="s">
        <v>255</v>
      </c>
      <c r="C36" s="44" t="s">
        <v>256</v>
      </c>
      <c r="D36" s="44" t="s">
        <v>257</v>
      </c>
      <c r="E36" s="44" t="s">
        <v>258</v>
      </c>
      <c r="F36" s="48" t="s">
        <v>259</v>
      </c>
      <c r="G36" s="49">
        <v>161</v>
      </c>
      <c r="H36" s="52" t="s">
        <v>260</v>
      </c>
    </row>
    <row r="37" spans="2:8" ht="18.75">
      <c r="B37" s="77" t="s">
        <v>263</v>
      </c>
      <c r="C37" s="82" t="s">
        <v>264</v>
      </c>
      <c r="D37" s="82"/>
      <c r="E37" s="82" t="s">
        <v>20</v>
      </c>
      <c r="F37" s="82" t="s">
        <v>72</v>
      </c>
      <c r="G37" s="91" t="s">
        <v>73</v>
      </c>
      <c r="H37" s="93" t="s">
        <v>74</v>
      </c>
    </row>
    <row r="38" spans="2:8" ht="18.75">
      <c r="B38" s="42" t="s">
        <v>265</v>
      </c>
      <c r="C38" s="44" t="s">
        <v>266</v>
      </c>
      <c r="D38" s="44" t="s">
        <v>267</v>
      </c>
      <c r="E38" s="43" t="s">
        <v>268</v>
      </c>
      <c r="F38" s="98" t="s">
        <v>269</v>
      </c>
      <c r="G38" s="101">
        <v>111</v>
      </c>
      <c r="H38" s="52" t="s">
        <v>271</v>
      </c>
    </row>
    <row r="39" spans="2:8" ht="18.75">
      <c r="B39" s="42" t="s">
        <v>272</v>
      </c>
      <c r="C39" s="44" t="s">
        <v>273</v>
      </c>
      <c r="D39" s="44" t="s">
        <v>274</v>
      </c>
      <c r="E39" s="43" t="s">
        <v>275</v>
      </c>
      <c r="F39" s="48" t="s">
        <v>276</v>
      </c>
      <c r="G39" s="101">
        <v>216</v>
      </c>
      <c r="H39" s="52" t="s">
        <v>277</v>
      </c>
    </row>
    <row r="40" spans="2:8" ht="18.75">
      <c r="B40" s="42" t="s">
        <v>272</v>
      </c>
      <c r="C40" s="44" t="s">
        <v>278</v>
      </c>
      <c r="D40" s="44" t="s">
        <v>131</v>
      </c>
      <c r="E40" s="43" t="s">
        <v>279</v>
      </c>
      <c r="F40" s="107" t="s">
        <v>280</v>
      </c>
      <c r="G40" s="101">
        <v>214</v>
      </c>
      <c r="H40" s="52" t="s">
        <v>283</v>
      </c>
    </row>
    <row r="41" spans="2:8" ht="18.75">
      <c r="B41" s="42" t="s">
        <v>272</v>
      </c>
      <c r="C41" s="44" t="s">
        <v>284</v>
      </c>
      <c r="D41" s="44" t="s">
        <v>285</v>
      </c>
      <c r="E41" s="43" t="s">
        <v>286</v>
      </c>
      <c r="F41" s="107" t="s">
        <v>287</v>
      </c>
      <c r="G41" s="101">
        <v>131</v>
      </c>
      <c r="H41" s="52" t="s">
        <v>288</v>
      </c>
    </row>
    <row r="42" spans="2:8" ht="18.75">
      <c r="B42" s="77" t="s">
        <v>290</v>
      </c>
      <c r="C42" s="82" t="s">
        <v>264</v>
      </c>
      <c r="D42" s="82"/>
      <c r="E42" s="82" t="s">
        <v>20</v>
      </c>
      <c r="F42" s="82" t="s">
        <v>72</v>
      </c>
      <c r="G42" s="91" t="s">
        <v>73</v>
      </c>
      <c r="H42" s="93" t="s">
        <v>74</v>
      </c>
    </row>
    <row r="43" spans="2:8" ht="18.75">
      <c r="B43" s="42" t="s">
        <v>291</v>
      </c>
      <c r="C43" s="44" t="s">
        <v>292</v>
      </c>
      <c r="D43" s="44" t="s">
        <v>293</v>
      </c>
      <c r="E43" s="43" t="s">
        <v>294</v>
      </c>
      <c r="F43" s="98" t="s">
        <v>295</v>
      </c>
      <c r="G43" s="101">
        <v>146</v>
      </c>
      <c r="H43" s="52" t="s">
        <v>296</v>
      </c>
    </row>
    <row r="44" spans="2:8" ht="18.75">
      <c r="B44" s="42" t="s">
        <v>291</v>
      </c>
      <c r="C44" s="44" t="s">
        <v>297</v>
      </c>
      <c r="D44" s="44" t="s">
        <v>298</v>
      </c>
      <c r="E44" s="43" t="s">
        <v>299</v>
      </c>
      <c r="F44" s="98" t="s">
        <v>295</v>
      </c>
      <c r="G44" s="101">
        <v>133</v>
      </c>
      <c r="H44" s="52" t="s">
        <v>300</v>
      </c>
    </row>
    <row r="45" spans="2:8" ht="18.75">
      <c r="B45" s="42" t="s">
        <v>291</v>
      </c>
      <c r="C45" s="44" t="s">
        <v>301</v>
      </c>
      <c r="D45" s="44" t="s">
        <v>302</v>
      </c>
      <c r="E45" s="43" t="s">
        <v>303</v>
      </c>
      <c r="F45" s="98" t="s">
        <v>304</v>
      </c>
      <c r="G45" s="101">
        <v>191</v>
      </c>
      <c r="H45" s="52" t="s">
        <v>305</v>
      </c>
    </row>
    <row r="46" spans="2:8" ht="18.75">
      <c r="B46" s="111" t="s">
        <v>306</v>
      </c>
      <c r="C46" s="534" t="s">
        <v>310</v>
      </c>
      <c r="D46" s="481"/>
      <c r="E46" s="481"/>
      <c r="F46" s="112" t="s">
        <v>72</v>
      </c>
      <c r="G46" s="114" t="s">
        <v>73</v>
      </c>
      <c r="H46" s="115" t="s">
        <v>74</v>
      </c>
    </row>
    <row r="47" spans="2:8" ht="18.75">
      <c r="B47" s="42" t="s">
        <v>313</v>
      </c>
      <c r="C47" s="44" t="s">
        <v>314</v>
      </c>
      <c r="D47" s="44" t="s">
        <v>315</v>
      </c>
      <c r="E47" s="43" t="s">
        <v>316</v>
      </c>
      <c r="F47" s="55" t="s">
        <v>317</v>
      </c>
      <c r="G47" s="49">
        <v>205</v>
      </c>
      <c r="H47" s="52" t="s">
        <v>318</v>
      </c>
    </row>
    <row r="48" spans="2:8" ht="18.75">
      <c r="B48" s="42" t="s">
        <v>265</v>
      </c>
      <c r="C48" s="44" t="s">
        <v>319</v>
      </c>
      <c r="D48" s="44" t="s">
        <v>320</v>
      </c>
      <c r="E48" s="43" t="s">
        <v>321</v>
      </c>
      <c r="F48" s="55" t="s">
        <v>322</v>
      </c>
      <c r="G48" s="49">
        <v>204</v>
      </c>
      <c r="H48" s="52" t="s">
        <v>323</v>
      </c>
    </row>
    <row r="49" spans="2:8" ht="18.75">
      <c r="B49" s="42" t="s">
        <v>265</v>
      </c>
      <c r="C49" s="44" t="s">
        <v>324</v>
      </c>
      <c r="D49" s="44" t="s">
        <v>325</v>
      </c>
      <c r="E49" s="43" t="s">
        <v>327</v>
      </c>
      <c r="F49" s="48" t="s">
        <v>328</v>
      </c>
      <c r="G49" s="49">
        <v>209</v>
      </c>
      <c r="H49" s="52" t="s">
        <v>329</v>
      </c>
    </row>
    <row r="50" spans="2:8" ht="18.75">
      <c r="B50" s="42" t="s">
        <v>291</v>
      </c>
      <c r="C50" s="44" t="s">
        <v>330</v>
      </c>
      <c r="D50" s="44" t="s">
        <v>331</v>
      </c>
      <c r="E50" s="43" t="s">
        <v>332</v>
      </c>
      <c r="F50" s="48" t="s">
        <v>333</v>
      </c>
      <c r="G50" s="49">
        <v>204</v>
      </c>
      <c r="H50" s="52" t="s">
        <v>335</v>
      </c>
    </row>
    <row r="51" spans="2:8" ht="18.75">
      <c r="B51" s="117" t="s">
        <v>336</v>
      </c>
      <c r="C51" s="535" t="s">
        <v>339</v>
      </c>
      <c r="D51" s="481"/>
      <c r="E51" s="119" t="s">
        <v>20</v>
      </c>
      <c r="F51" s="119" t="s">
        <v>72</v>
      </c>
      <c r="G51" s="130" t="s">
        <v>73</v>
      </c>
      <c r="H51" s="131" t="s">
        <v>74</v>
      </c>
    </row>
    <row r="52" spans="2:8" ht="18.75">
      <c r="B52" s="42" t="s">
        <v>352</v>
      </c>
      <c r="C52" s="44" t="s">
        <v>353</v>
      </c>
      <c r="D52" s="44" t="s">
        <v>354</v>
      </c>
      <c r="E52" s="43" t="s">
        <v>355</v>
      </c>
      <c r="F52" s="55" t="s">
        <v>356</v>
      </c>
      <c r="G52" s="49">
        <v>206</v>
      </c>
      <c r="H52" s="52" t="s">
        <v>357</v>
      </c>
    </row>
    <row r="53" spans="2:8" ht="18.75">
      <c r="B53" s="42" t="s">
        <v>358</v>
      </c>
      <c r="C53" s="44" t="s">
        <v>359</v>
      </c>
      <c r="D53" s="44" t="s">
        <v>360</v>
      </c>
      <c r="E53" s="43" t="s">
        <v>361</v>
      </c>
      <c r="F53" s="55" t="s">
        <v>362</v>
      </c>
      <c r="G53" s="49">
        <v>145</v>
      </c>
      <c r="H53" s="52" t="s">
        <v>363</v>
      </c>
    </row>
    <row r="54" spans="2:8" ht="18.75">
      <c r="B54" s="42" t="s">
        <v>364</v>
      </c>
      <c r="C54" s="44" t="s">
        <v>365</v>
      </c>
      <c r="D54" s="44" t="s">
        <v>165</v>
      </c>
      <c r="E54" s="43" t="s">
        <v>366</v>
      </c>
      <c r="F54" s="55" t="s">
        <v>367</v>
      </c>
      <c r="G54" s="49">
        <v>142</v>
      </c>
      <c r="H54" s="52" t="s">
        <v>368</v>
      </c>
    </row>
    <row r="55" spans="2:8" ht="18.75">
      <c r="B55" s="42" t="s">
        <v>364</v>
      </c>
      <c r="C55" s="44" t="s">
        <v>369</v>
      </c>
      <c r="D55" s="44" t="s">
        <v>371</v>
      </c>
      <c r="E55" s="43" t="s">
        <v>366</v>
      </c>
      <c r="F55" s="55" t="s">
        <v>372</v>
      </c>
      <c r="G55" s="49">
        <v>112</v>
      </c>
      <c r="H55" s="52" t="s">
        <v>373</v>
      </c>
    </row>
    <row r="56" spans="2:8" ht="18.75">
      <c r="B56" s="42" t="s">
        <v>364</v>
      </c>
      <c r="C56" s="44" t="s">
        <v>374</v>
      </c>
      <c r="D56" s="44" t="s">
        <v>375</v>
      </c>
      <c r="E56" s="43" t="s">
        <v>376</v>
      </c>
      <c r="F56" s="55" t="s">
        <v>377</v>
      </c>
      <c r="G56" s="49">
        <v>115</v>
      </c>
      <c r="H56" s="52" t="s">
        <v>378</v>
      </c>
    </row>
    <row r="57" spans="2:8" ht="18.75">
      <c r="B57" s="42" t="s">
        <v>364</v>
      </c>
      <c r="C57" s="44" t="s">
        <v>379</v>
      </c>
      <c r="D57" s="44" t="s">
        <v>380</v>
      </c>
      <c r="E57" s="43" t="s">
        <v>376</v>
      </c>
      <c r="F57" s="55" t="s">
        <v>381</v>
      </c>
      <c r="G57" s="49">
        <v>117</v>
      </c>
      <c r="H57" s="52" t="s">
        <v>382</v>
      </c>
    </row>
    <row r="58" spans="2:8" ht="18.75">
      <c r="B58" s="117" t="s">
        <v>383</v>
      </c>
      <c r="C58" s="536" t="s">
        <v>384</v>
      </c>
      <c r="D58" s="481"/>
      <c r="E58" s="119" t="s">
        <v>20</v>
      </c>
      <c r="F58" s="119" t="s">
        <v>72</v>
      </c>
      <c r="G58" s="130" t="s">
        <v>73</v>
      </c>
      <c r="H58" s="131" t="s">
        <v>74</v>
      </c>
    </row>
    <row r="59" spans="2:8" ht="18.75">
      <c r="B59" s="42" t="s">
        <v>385</v>
      </c>
      <c r="C59" s="44" t="s">
        <v>387</v>
      </c>
      <c r="D59" s="44" t="s">
        <v>388</v>
      </c>
      <c r="E59" s="44" t="s">
        <v>389</v>
      </c>
      <c r="F59" s="55" t="s">
        <v>390</v>
      </c>
      <c r="G59" s="49">
        <v>114</v>
      </c>
      <c r="H59" s="52" t="s">
        <v>391</v>
      </c>
    </row>
    <row r="60" spans="2:8" ht="18.75">
      <c r="B60" s="135" t="s">
        <v>392</v>
      </c>
      <c r="C60" s="537" t="s">
        <v>393</v>
      </c>
      <c r="D60" s="481"/>
      <c r="E60" s="138" t="s">
        <v>20</v>
      </c>
      <c r="F60" s="138" t="s">
        <v>72</v>
      </c>
      <c r="G60" s="139" t="s">
        <v>73</v>
      </c>
      <c r="H60" s="142" t="s">
        <v>74</v>
      </c>
    </row>
    <row r="61" spans="2:8" ht="18.75">
      <c r="B61" s="42" t="s">
        <v>400</v>
      </c>
      <c r="C61" s="44" t="s">
        <v>401</v>
      </c>
      <c r="D61" s="44" t="s">
        <v>402</v>
      </c>
      <c r="E61" s="43" t="s">
        <v>403</v>
      </c>
      <c r="F61" s="55" t="s">
        <v>404</v>
      </c>
      <c r="G61" s="49">
        <v>169</v>
      </c>
      <c r="H61" s="52" t="s">
        <v>405</v>
      </c>
    </row>
    <row r="62" spans="2:8" ht="18.75">
      <c r="B62" s="42" t="s">
        <v>291</v>
      </c>
      <c r="C62" s="44" t="s">
        <v>409</v>
      </c>
      <c r="D62" s="44" t="s">
        <v>410</v>
      </c>
      <c r="E62" s="43" t="s">
        <v>411</v>
      </c>
      <c r="F62" s="55" t="s">
        <v>412</v>
      </c>
      <c r="G62" s="49">
        <v>170</v>
      </c>
      <c r="H62" s="52" t="s">
        <v>413</v>
      </c>
    </row>
    <row r="63" spans="2:8" ht="18.75">
      <c r="B63" s="42" t="s">
        <v>291</v>
      </c>
      <c r="C63" s="44" t="s">
        <v>414</v>
      </c>
      <c r="D63" s="44" t="s">
        <v>234</v>
      </c>
      <c r="E63" s="43" t="s">
        <v>415</v>
      </c>
      <c r="F63" s="55" t="s">
        <v>416</v>
      </c>
      <c r="G63" s="49">
        <v>160</v>
      </c>
      <c r="H63" s="52" t="s">
        <v>417</v>
      </c>
    </row>
    <row r="64" spans="2:8" ht="18.75">
      <c r="B64" s="42" t="s">
        <v>291</v>
      </c>
      <c r="C64" s="44" t="s">
        <v>418</v>
      </c>
      <c r="D64" s="44" t="s">
        <v>419</v>
      </c>
      <c r="E64" s="43" t="s">
        <v>420</v>
      </c>
      <c r="F64" s="55" t="s">
        <v>421</v>
      </c>
      <c r="G64" s="49">
        <v>104</v>
      </c>
      <c r="H64" s="52" t="s">
        <v>422</v>
      </c>
    </row>
    <row r="65" spans="1:9" ht="18.75">
      <c r="B65" s="42" t="s">
        <v>291</v>
      </c>
      <c r="C65" s="44" t="s">
        <v>423</v>
      </c>
      <c r="D65" s="44" t="s">
        <v>424</v>
      </c>
      <c r="E65" s="43" t="s">
        <v>425</v>
      </c>
      <c r="F65" s="55" t="s">
        <v>426</v>
      </c>
      <c r="G65" s="49">
        <v>162</v>
      </c>
      <c r="H65" s="52" t="s">
        <v>427</v>
      </c>
    </row>
    <row r="66" spans="1:9" ht="18.75">
      <c r="B66" s="42" t="s">
        <v>291</v>
      </c>
      <c r="C66" s="44" t="s">
        <v>428</v>
      </c>
      <c r="D66" s="44" t="s">
        <v>131</v>
      </c>
      <c r="E66" s="43" t="s">
        <v>430</v>
      </c>
      <c r="F66" s="55" t="s">
        <v>431</v>
      </c>
      <c r="G66" s="49">
        <v>164</v>
      </c>
      <c r="H66" s="52" t="s">
        <v>432</v>
      </c>
    </row>
    <row r="67" spans="1:9" ht="18.75">
      <c r="B67" s="42" t="s">
        <v>291</v>
      </c>
      <c r="C67" s="44" t="s">
        <v>433</v>
      </c>
      <c r="D67" s="44" t="s">
        <v>434</v>
      </c>
      <c r="E67" s="43" t="s">
        <v>430</v>
      </c>
      <c r="F67" s="55" t="s">
        <v>435</v>
      </c>
      <c r="G67" s="49">
        <v>163</v>
      </c>
      <c r="H67" s="52" t="s">
        <v>436</v>
      </c>
    </row>
    <row r="68" spans="1:9" ht="18.75">
      <c r="B68" s="151" t="s">
        <v>437</v>
      </c>
      <c r="C68" s="538" t="s">
        <v>393</v>
      </c>
      <c r="D68" s="481"/>
      <c r="E68" s="153" t="s">
        <v>20</v>
      </c>
      <c r="F68" s="158" t="s">
        <v>72</v>
      </c>
      <c r="G68" s="159" t="s">
        <v>73</v>
      </c>
      <c r="H68" s="160" t="s">
        <v>74</v>
      </c>
    </row>
    <row r="69" spans="1:9" ht="18.75">
      <c r="B69" s="42" t="s">
        <v>400</v>
      </c>
      <c r="C69" s="44" t="s">
        <v>461</v>
      </c>
      <c r="D69" s="44" t="s">
        <v>462</v>
      </c>
      <c r="E69" s="43" t="s">
        <v>463</v>
      </c>
      <c r="F69" s="55" t="s">
        <v>464</v>
      </c>
      <c r="G69" s="49">
        <v>172</v>
      </c>
      <c r="H69" s="52" t="s">
        <v>465</v>
      </c>
    </row>
    <row r="70" spans="1:9" ht="18.75">
      <c r="B70" s="42" t="s">
        <v>358</v>
      </c>
      <c r="C70" s="44" t="s">
        <v>466</v>
      </c>
      <c r="D70" s="44" t="s">
        <v>467</v>
      </c>
      <c r="E70" s="43" t="s">
        <v>463</v>
      </c>
      <c r="F70" s="55" t="s">
        <v>468</v>
      </c>
      <c r="G70" s="49">
        <v>174</v>
      </c>
      <c r="H70" s="52" t="s">
        <v>469</v>
      </c>
    </row>
    <row r="71" spans="1:9" ht="18.75">
      <c r="B71" s="42" t="s">
        <v>291</v>
      </c>
      <c r="C71" s="44" t="s">
        <v>470</v>
      </c>
      <c r="D71" s="44" t="s">
        <v>471</v>
      </c>
      <c r="E71" s="43" t="s">
        <v>472</v>
      </c>
      <c r="F71" s="55" t="s">
        <v>473</v>
      </c>
      <c r="G71" s="49">
        <v>171</v>
      </c>
      <c r="H71" s="52" t="s">
        <v>474</v>
      </c>
    </row>
    <row r="72" spans="1:9" ht="23.25">
      <c r="A72" s="168"/>
      <c r="B72" s="171" t="s">
        <v>480</v>
      </c>
      <c r="C72" s="172"/>
      <c r="D72" s="172"/>
      <c r="E72" s="173"/>
      <c r="F72" s="174"/>
      <c r="G72" s="175"/>
      <c r="H72" s="176"/>
      <c r="I72" s="168"/>
    </row>
    <row r="73" spans="1:9" ht="18.75">
      <c r="A73" s="168"/>
      <c r="B73" s="177"/>
      <c r="C73" s="181"/>
      <c r="D73" s="181"/>
      <c r="E73" s="182" t="s">
        <v>20</v>
      </c>
      <c r="F73" s="183" t="s">
        <v>72</v>
      </c>
      <c r="G73" s="184" t="s">
        <v>73</v>
      </c>
      <c r="H73" s="185" t="s">
        <v>74</v>
      </c>
      <c r="I73" s="168"/>
    </row>
    <row r="74" spans="1:9" ht="18.75">
      <c r="B74" s="189" t="s">
        <v>488</v>
      </c>
      <c r="C74" s="190" t="s">
        <v>497</v>
      </c>
      <c r="D74" s="190" t="s">
        <v>498</v>
      </c>
      <c r="E74" s="190" t="s">
        <v>499</v>
      </c>
      <c r="F74" s="191" t="s">
        <v>500</v>
      </c>
      <c r="G74" s="192"/>
      <c r="H74" s="195" t="s">
        <v>502</v>
      </c>
    </row>
    <row r="75" spans="1:9" ht="18.75">
      <c r="A75" s="198"/>
      <c r="B75" s="201"/>
      <c r="C75" s="198"/>
      <c r="D75" s="198"/>
      <c r="E75" s="206"/>
      <c r="F75" s="201"/>
      <c r="G75" s="207"/>
      <c r="H75" s="201"/>
      <c r="I75" s="198"/>
    </row>
  </sheetData>
  <mergeCells count="12">
    <mergeCell ref="C28:D28"/>
    <mergeCell ref="C35:E35"/>
    <mergeCell ref="D2:E3"/>
    <mergeCell ref="C9:D9"/>
    <mergeCell ref="C13:D13"/>
    <mergeCell ref="C22:D22"/>
    <mergeCell ref="C25:D25"/>
    <mergeCell ref="C46:E46"/>
    <mergeCell ref="C51:D51"/>
    <mergeCell ref="C58:D58"/>
    <mergeCell ref="C60:D60"/>
    <mergeCell ref="C68:D68"/>
  </mergeCells>
  <phoneticPr fontId="149" type="noConversion"/>
  <hyperlinks>
    <hyperlink ref="H8" r:id="rId1" xr:uid="{00000000-0004-0000-0200-000000000000}"/>
    <hyperlink ref="H15" r:id="rId2" xr:uid="{00000000-0004-0000-0200-000001000000}"/>
    <hyperlink ref="H21" r:id="rId3" xr:uid="{00000000-0004-0000-0200-000002000000}"/>
  </hyperlinks>
  <pageMargins left="0.7" right="0.7" top="0.75" bottom="0.75" header="0.3" footer="0.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7C80"/>
    <outlinePr summaryBelow="0" summaryRight="0"/>
    <pageSetUpPr fitToPage="1"/>
  </sheetPr>
  <dimension ref="A1:W65"/>
  <sheetViews>
    <sheetView showGridLines="0" workbookViewId="0"/>
  </sheetViews>
  <sheetFormatPr defaultColWidth="10.09765625" defaultRowHeight="15" customHeight="1"/>
  <cols>
    <col min="1" max="1" width="2.5" customWidth="1"/>
    <col min="2" max="2" width="8.59765625" customWidth="1"/>
    <col min="3" max="4" width="7.8984375" customWidth="1"/>
    <col min="5" max="5" width="9.5" customWidth="1"/>
    <col min="6" max="6" width="9.296875" customWidth="1"/>
    <col min="7" max="8" width="8.3984375" customWidth="1"/>
    <col min="9" max="9" width="9.59765625" customWidth="1"/>
    <col min="10" max="11" width="7" customWidth="1"/>
    <col min="12" max="13" width="8.8984375" customWidth="1"/>
    <col min="14" max="14" width="7.8984375" customWidth="1"/>
    <col min="15" max="15" width="7.59765625" customWidth="1"/>
    <col min="16" max="16" width="9.09765625" customWidth="1"/>
    <col min="17" max="17" width="9" customWidth="1"/>
    <col min="18" max="18" width="7.8984375" customWidth="1"/>
    <col min="19" max="19" width="8.796875" customWidth="1"/>
    <col min="20" max="20" width="9.19921875" customWidth="1"/>
    <col min="21" max="21" width="10.69921875" customWidth="1"/>
    <col min="22" max="23" width="7.19921875" customWidth="1"/>
  </cols>
  <sheetData>
    <row r="1" spans="1:23" ht="21.75" customHeight="1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ht="21.75" customHeight="1">
      <c r="A2" s="15"/>
      <c r="B2" s="15"/>
      <c r="C2" s="15"/>
      <c r="D2" s="15"/>
      <c r="E2" s="17"/>
      <c r="F2" s="18" t="s">
        <v>7</v>
      </c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 ht="21.75" customHeight="1">
      <c r="A3" s="15"/>
      <c r="B3" s="15"/>
      <c r="C3" s="15"/>
      <c r="D3" s="15"/>
      <c r="E3" s="17"/>
      <c r="F3" s="18" t="s">
        <v>8</v>
      </c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spans="1:23" ht="21.75" customHeight="1">
      <c r="A4" s="15"/>
      <c r="B4" s="15"/>
      <c r="C4" s="15"/>
      <c r="D4" s="15"/>
      <c r="E4" s="17"/>
      <c r="F4" s="18" t="s">
        <v>9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3" ht="12.75" customHeight="1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3"/>
      <c r="N5" s="23"/>
      <c r="O5" s="23"/>
      <c r="P5" s="23"/>
      <c r="Q5" s="23"/>
      <c r="R5" s="23"/>
      <c r="S5" s="23"/>
      <c r="T5" s="23"/>
      <c r="U5" s="19"/>
      <c r="V5" s="19"/>
      <c r="W5" s="19"/>
    </row>
    <row r="6" spans="1:23" ht="15.75" customHeight="1">
      <c r="A6" s="19"/>
      <c r="B6" s="25" t="s">
        <v>12</v>
      </c>
      <c r="C6" s="20"/>
      <c r="D6" s="20"/>
      <c r="E6" s="20"/>
      <c r="F6" s="20"/>
      <c r="G6" s="20"/>
      <c r="H6" s="20"/>
      <c r="I6" s="20"/>
      <c r="J6" s="20"/>
      <c r="L6" s="556" t="s">
        <v>13</v>
      </c>
      <c r="M6" s="476"/>
      <c r="N6" s="476"/>
      <c r="O6" s="476"/>
      <c r="P6" s="476"/>
      <c r="Q6" s="476"/>
      <c r="R6" s="476"/>
      <c r="S6" s="476"/>
      <c r="T6" s="477"/>
      <c r="U6" s="19"/>
      <c r="V6" s="19"/>
      <c r="W6" s="19"/>
    </row>
    <row r="7" spans="1:23" ht="16.5" customHeight="1">
      <c r="A7" s="19"/>
      <c r="B7" s="557" t="s">
        <v>18</v>
      </c>
      <c r="C7" s="476"/>
      <c r="D7" s="476"/>
      <c r="E7" s="558" t="s">
        <v>21</v>
      </c>
      <c r="F7" s="476"/>
      <c r="G7" s="476"/>
      <c r="H7" s="476"/>
      <c r="I7" s="477"/>
      <c r="K7" s="38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</row>
    <row r="8" spans="1:23" ht="16.5" customHeight="1">
      <c r="A8" s="19"/>
      <c r="B8" s="559" t="s">
        <v>76</v>
      </c>
      <c r="C8" s="476"/>
      <c r="D8" s="476"/>
      <c r="E8" s="558" t="s">
        <v>77</v>
      </c>
      <c r="F8" s="476"/>
      <c r="G8" s="476"/>
      <c r="H8" s="476"/>
      <c r="I8" s="477"/>
      <c r="K8" s="38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</row>
    <row r="9" spans="1:23" ht="16.5" customHeight="1">
      <c r="A9" s="19"/>
      <c r="B9" s="559" t="s">
        <v>80</v>
      </c>
      <c r="C9" s="476"/>
      <c r="D9" s="476"/>
      <c r="E9" s="558" t="s">
        <v>83</v>
      </c>
      <c r="F9" s="476"/>
      <c r="G9" s="476"/>
      <c r="H9" s="476"/>
      <c r="I9" s="477"/>
      <c r="K9" s="38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</row>
    <row r="10" spans="1:23" ht="16.5" customHeight="1">
      <c r="A10" s="19"/>
      <c r="B10" s="560" t="s">
        <v>86</v>
      </c>
      <c r="C10" s="476"/>
      <c r="D10" s="477"/>
      <c r="E10" s="561" t="s">
        <v>99</v>
      </c>
      <c r="F10" s="476"/>
      <c r="G10" s="476"/>
      <c r="H10" s="476"/>
      <c r="I10" s="477"/>
      <c r="K10" s="38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</row>
    <row r="11" spans="1:23" ht="16.5" customHeight="1">
      <c r="A11" s="19"/>
      <c r="B11" s="559" t="s">
        <v>100</v>
      </c>
      <c r="C11" s="476"/>
      <c r="D11" s="476"/>
      <c r="E11" s="562" t="s">
        <v>102</v>
      </c>
      <c r="F11" s="476"/>
      <c r="G11" s="476"/>
      <c r="H11" s="476"/>
      <c r="I11" s="477"/>
      <c r="K11" s="53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</row>
    <row r="12" spans="1:23" ht="16.5" customHeight="1">
      <c r="A12" s="19"/>
      <c r="B12" s="559" t="s">
        <v>118</v>
      </c>
      <c r="C12" s="476"/>
      <c r="D12" s="476"/>
      <c r="E12" s="558" t="s">
        <v>119</v>
      </c>
      <c r="F12" s="476"/>
      <c r="G12" s="476"/>
      <c r="H12" s="476"/>
      <c r="I12" s="477"/>
      <c r="K12" s="53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</row>
    <row r="13" spans="1:23" ht="16.5" customHeight="1">
      <c r="A13" s="19"/>
      <c r="B13" s="559" t="s">
        <v>120</v>
      </c>
      <c r="C13" s="476"/>
      <c r="D13" s="476"/>
      <c r="E13" s="558" t="s">
        <v>121</v>
      </c>
      <c r="F13" s="476"/>
      <c r="G13" s="476"/>
      <c r="H13" s="476"/>
      <c r="I13" s="477"/>
      <c r="L13" s="54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</row>
    <row r="14" spans="1:23" ht="24.75" customHeight="1">
      <c r="A14" s="19"/>
      <c r="B14" s="3" t="s">
        <v>122</v>
      </c>
      <c r="J14" s="19"/>
      <c r="L14" s="53"/>
      <c r="M14" s="53"/>
      <c r="N14" s="19"/>
      <c r="O14" s="19"/>
      <c r="P14" s="19"/>
      <c r="Q14" s="19"/>
      <c r="R14" s="19"/>
      <c r="S14" s="19"/>
      <c r="T14" s="19"/>
      <c r="U14" s="19"/>
      <c r="V14" s="19"/>
      <c r="W14" s="19"/>
    </row>
    <row r="15" spans="1:23" ht="18.75">
      <c r="A15" s="19"/>
      <c r="B15" s="3" t="s">
        <v>123</v>
      </c>
      <c r="C15" s="19"/>
      <c r="D15" s="19"/>
      <c r="E15" s="19"/>
      <c r="F15" s="19"/>
      <c r="G15" s="19"/>
      <c r="H15" s="19"/>
      <c r="I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</row>
    <row r="16" spans="1:23" ht="18" customHeight="1">
      <c r="A16" s="19"/>
      <c r="B16" s="3" t="s">
        <v>124</v>
      </c>
      <c r="C16" s="19"/>
      <c r="D16" s="19"/>
      <c r="E16" s="19"/>
      <c r="F16" s="19"/>
      <c r="G16" s="19"/>
      <c r="H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</row>
    <row r="17" spans="1:23" ht="18" customHeight="1">
      <c r="A17" s="19"/>
      <c r="B17" s="3" t="s">
        <v>125</v>
      </c>
      <c r="C17" s="19"/>
      <c r="D17" s="19"/>
      <c r="E17" s="19"/>
      <c r="F17" s="19"/>
      <c r="G17" s="19"/>
      <c r="H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</row>
    <row r="18" spans="1:23" ht="18.75">
      <c r="A18" s="19"/>
      <c r="B18" s="3" t="s">
        <v>126</v>
      </c>
      <c r="C18" s="19"/>
      <c r="D18" s="19"/>
      <c r="E18" s="19"/>
      <c r="F18" s="19"/>
      <c r="G18" s="19"/>
      <c r="H18" s="19"/>
      <c r="I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</row>
    <row r="19" spans="1:23" ht="18.75" customHeight="1">
      <c r="A19" s="19"/>
      <c r="B19" s="3" t="s">
        <v>127</v>
      </c>
      <c r="C19" s="19"/>
      <c r="D19" s="19"/>
      <c r="E19" s="19"/>
      <c r="F19" s="19"/>
      <c r="G19" s="19"/>
      <c r="H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</row>
    <row r="20" spans="1:23" ht="23.25">
      <c r="A20" s="19"/>
      <c r="B20" s="56"/>
      <c r="C20" s="56"/>
      <c r="D20" s="56"/>
      <c r="E20" s="56"/>
      <c r="F20" s="56"/>
      <c r="G20" s="19"/>
      <c r="H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</row>
    <row r="21" spans="1:23" ht="23.25">
      <c r="A21" s="19"/>
      <c r="B21" s="563" t="s">
        <v>130</v>
      </c>
      <c r="C21" s="481"/>
      <c r="D21" s="481"/>
      <c r="E21" s="481"/>
      <c r="F21" s="481"/>
      <c r="G21" s="19"/>
      <c r="H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</row>
    <row r="22" spans="1:23" ht="12.75" customHeight="1">
      <c r="A22" s="19"/>
      <c r="B22" s="553" t="s">
        <v>29</v>
      </c>
      <c r="C22" s="554" t="s">
        <v>135</v>
      </c>
      <c r="D22" s="477"/>
      <c r="E22" s="64" t="s">
        <v>170</v>
      </c>
      <c r="F22" s="64" t="s">
        <v>201</v>
      </c>
      <c r="G22" s="64" t="s">
        <v>202</v>
      </c>
      <c r="H22" s="19"/>
      <c r="I22" s="545" t="s">
        <v>65</v>
      </c>
      <c r="J22" s="546" t="s">
        <v>203</v>
      </c>
      <c r="K22" s="477"/>
      <c r="L22" s="65" t="s">
        <v>170</v>
      </c>
      <c r="M22" s="65" t="s">
        <v>201</v>
      </c>
      <c r="N22" s="65" t="s">
        <v>202</v>
      </c>
      <c r="O22" s="19"/>
      <c r="P22" s="545" t="s">
        <v>204</v>
      </c>
      <c r="Q22" s="546" t="s">
        <v>203</v>
      </c>
      <c r="R22" s="477"/>
      <c r="S22" s="65" t="s">
        <v>170</v>
      </c>
      <c r="T22" s="65" t="s">
        <v>201</v>
      </c>
      <c r="U22" s="65" t="s">
        <v>202</v>
      </c>
      <c r="V22" s="19"/>
      <c r="W22" s="19"/>
    </row>
    <row r="23" spans="1:23" ht="12.75" customHeight="1">
      <c r="A23" s="19"/>
      <c r="B23" s="484"/>
      <c r="C23" s="564" t="s">
        <v>205</v>
      </c>
      <c r="D23" s="72" t="s">
        <v>212</v>
      </c>
      <c r="E23" s="76" t="s">
        <v>42</v>
      </c>
      <c r="F23" s="79" t="s">
        <v>244</v>
      </c>
      <c r="G23" s="80" t="s">
        <v>246</v>
      </c>
      <c r="H23" s="19"/>
      <c r="I23" s="484"/>
      <c r="J23" s="547" t="s">
        <v>247</v>
      </c>
      <c r="K23" s="84" t="s">
        <v>212</v>
      </c>
      <c r="L23" s="89" t="s">
        <v>244</v>
      </c>
      <c r="M23" s="92" t="s">
        <v>32</v>
      </c>
      <c r="N23" s="96" t="s">
        <v>252</v>
      </c>
      <c r="O23" s="19"/>
      <c r="P23" s="484"/>
      <c r="Q23" s="547" t="s">
        <v>262</v>
      </c>
      <c r="R23" s="84" t="s">
        <v>212</v>
      </c>
      <c r="S23" s="92" t="s">
        <v>32</v>
      </c>
      <c r="T23" s="105" t="s">
        <v>45</v>
      </c>
      <c r="U23" s="109" t="s">
        <v>282</v>
      </c>
      <c r="V23" s="19"/>
      <c r="W23" s="19"/>
    </row>
    <row r="24" spans="1:23" ht="12.75" customHeight="1">
      <c r="A24" s="19"/>
      <c r="B24" s="484"/>
      <c r="C24" s="531"/>
      <c r="D24" s="72" t="s">
        <v>308</v>
      </c>
      <c r="E24" s="72"/>
      <c r="F24" s="79" t="s">
        <v>244</v>
      </c>
      <c r="G24" s="80" t="s">
        <v>246</v>
      </c>
      <c r="H24" s="19"/>
      <c r="I24" s="484"/>
      <c r="J24" s="493"/>
      <c r="K24" s="84" t="s">
        <v>308</v>
      </c>
      <c r="L24" s="113"/>
      <c r="M24" s="92" t="s">
        <v>32</v>
      </c>
      <c r="N24" s="96" t="s">
        <v>312</v>
      </c>
      <c r="O24" s="19"/>
      <c r="P24" s="484"/>
      <c r="Q24" s="493"/>
      <c r="R24" s="84" t="s">
        <v>308</v>
      </c>
      <c r="S24" s="84"/>
      <c r="T24" s="105" t="s">
        <v>45</v>
      </c>
      <c r="U24" s="105" t="s">
        <v>326</v>
      </c>
      <c r="V24" s="19"/>
      <c r="W24" s="19"/>
    </row>
    <row r="25" spans="1:23" ht="12.75" customHeight="1">
      <c r="A25" s="19"/>
      <c r="B25" s="531"/>
      <c r="C25" s="116" t="s">
        <v>334</v>
      </c>
      <c r="D25" s="72" t="s">
        <v>212</v>
      </c>
      <c r="E25" s="79" t="s">
        <v>244</v>
      </c>
      <c r="F25" s="118" t="s">
        <v>338</v>
      </c>
      <c r="G25" s="120" t="s">
        <v>342</v>
      </c>
      <c r="H25" s="19"/>
      <c r="I25" s="531"/>
      <c r="J25" s="121" t="s">
        <v>343</v>
      </c>
      <c r="K25" s="84" t="s">
        <v>212</v>
      </c>
      <c r="L25" s="96" t="s">
        <v>338</v>
      </c>
      <c r="M25" s="122" t="s">
        <v>35</v>
      </c>
      <c r="N25" s="123" t="s">
        <v>344</v>
      </c>
      <c r="O25" s="19"/>
      <c r="P25" s="531"/>
      <c r="Q25" s="124" t="s">
        <v>343</v>
      </c>
      <c r="R25" s="84" t="s">
        <v>212</v>
      </c>
      <c r="S25" s="92" t="s">
        <v>32</v>
      </c>
      <c r="T25" s="105" t="s">
        <v>45</v>
      </c>
      <c r="U25" s="123" t="s">
        <v>345</v>
      </c>
      <c r="V25" s="19"/>
      <c r="W25" s="19"/>
    </row>
    <row r="26" spans="1:23" ht="12.75" customHeight="1">
      <c r="A26" s="19"/>
      <c r="B26" s="565" t="s">
        <v>346</v>
      </c>
      <c r="C26" s="476"/>
      <c r="D26" s="476"/>
      <c r="E26" s="477"/>
      <c r="F26" s="125" t="s">
        <v>347</v>
      </c>
      <c r="G26" s="125" t="s">
        <v>348</v>
      </c>
      <c r="H26" s="19"/>
      <c r="I26" s="543" t="s">
        <v>346</v>
      </c>
      <c r="J26" s="476"/>
      <c r="K26" s="476"/>
      <c r="L26" s="477"/>
      <c r="M26" s="126" t="s">
        <v>347</v>
      </c>
      <c r="N26" s="126" t="s">
        <v>349</v>
      </c>
      <c r="O26" s="19"/>
      <c r="P26" s="543" t="s">
        <v>346</v>
      </c>
      <c r="Q26" s="476"/>
      <c r="R26" s="476"/>
      <c r="S26" s="477"/>
      <c r="T26" s="126" t="s">
        <v>347</v>
      </c>
      <c r="U26" s="126" t="s">
        <v>350</v>
      </c>
      <c r="V26" s="19"/>
      <c r="W26" s="19"/>
    </row>
    <row r="27" spans="1:23" ht="17.25" customHeight="1">
      <c r="A27" s="19"/>
      <c r="B27" s="127"/>
      <c r="C27" s="128" t="s">
        <v>61</v>
      </c>
      <c r="D27" s="552" t="s">
        <v>351</v>
      </c>
      <c r="E27" s="477"/>
      <c r="F27" s="133">
        <v>5</v>
      </c>
      <c r="G27" s="133">
        <v>4</v>
      </c>
      <c r="H27" s="19"/>
      <c r="I27" s="134"/>
      <c r="J27" s="137" t="s">
        <v>386</v>
      </c>
      <c r="K27" s="542" t="s">
        <v>399</v>
      </c>
      <c r="L27" s="477"/>
      <c r="M27" s="145">
        <v>5</v>
      </c>
      <c r="N27" s="145">
        <v>4</v>
      </c>
      <c r="O27" s="19"/>
      <c r="P27" s="149" t="s">
        <v>406</v>
      </c>
      <c r="Q27" s="150" t="s">
        <v>60</v>
      </c>
      <c r="R27" s="542" t="s">
        <v>429</v>
      </c>
      <c r="S27" s="477"/>
      <c r="T27" s="145">
        <v>5</v>
      </c>
      <c r="U27" s="145">
        <v>4</v>
      </c>
      <c r="V27" s="19"/>
      <c r="W27" s="19"/>
    </row>
    <row r="28" spans="1:23" ht="17.25" customHeight="1">
      <c r="A28" s="19"/>
      <c r="B28" s="127"/>
      <c r="C28" s="128" t="s">
        <v>60</v>
      </c>
      <c r="D28" s="552" t="s">
        <v>429</v>
      </c>
      <c r="E28" s="477"/>
      <c r="F28" s="133">
        <v>6</v>
      </c>
      <c r="G28" s="133">
        <v>5</v>
      </c>
      <c r="H28" s="19"/>
      <c r="I28" s="149" t="s">
        <v>438</v>
      </c>
      <c r="J28" s="137" t="s">
        <v>93</v>
      </c>
      <c r="K28" s="542" t="s">
        <v>439</v>
      </c>
      <c r="L28" s="477"/>
      <c r="M28" s="145">
        <v>6</v>
      </c>
      <c r="N28" s="145">
        <v>5</v>
      </c>
      <c r="O28" s="19"/>
      <c r="P28" s="149" t="s">
        <v>440</v>
      </c>
      <c r="Q28" s="150" t="s">
        <v>61</v>
      </c>
      <c r="R28" s="542" t="s">
        <v>351</v>
      </c>
      <c r="S28" s="477"/>
      <c r="T28" s="145">
        <v>6</v>
      </c>
      <c r="U28" s="145">
        <v>5</v>
      </c>
      <c r="V28" s="19"/>
      <c r="W28" s="19"/>
    </row>
    <row r="29" spans="1:23" ht="17.25" customHeight="1">
      <c r="A29" s="19"/>
      <c r="B29" s="127"/>
      <c r="C29" s="128" t="s">
        <v>386</v>
      </c>
      <c r="D29" s="552" t="s">
        <v>399</v>
      </c>
      <c r="E29" s="477"/>
      <c r="F29" s="133">
        <v>7</v>
      </c>
      <c r="G29" s="133">
        <v>6</v>
      </c>
      <c r="H29" s="19"/>
      <c r="I29" s="149" t="s">
        <v>441</v>
      </c>
      <c r="J29" s="137" t="s">
        <v>81</v>
      </c>
      <c r="K29" s="542" t="s">
        <v>442</v>
      </c>
      <c r="L29" s="477"/>
      <c r="M29" s="145">
        <v>9</v>
      </c>
      <c r="N29" s="145">
        <v>8</v>
      </c>
      <c r="O29" s="19"/>
      <c r="P29" s="19"/>
      <c r="Q29" s="19"/>
      <c r="R29" s="19"/>
      <c r="S29" s="19"/>
      <c r="T29" s="19"/>
      <c r="U29" s="19"/>
      <c r="V29" s="19"/>
      <c r="W29" s="19"/>
    </row>
    <row r="30" spans="1:23" ht="17.25" customHeight="1">
      <c r="A30" s="19"/>
      <c r="B30" s="566" t="s">
        <v>443</v>
      </c>
      <c r="C30" s="128" t="s">
        <v>24</v>
      </c>
      <c r="D30" s="552" t="s">
        <v>444</v>
      </c>
      <c r="E30" s="477"/>
      <c r="F30" s="133">
        <v>11</v>
      </c>
      <c r="G30" s="133">
        <v>10</v>
      </c>
      <c r="H30" s="19"/>
      <c r="I30" s="149" t="s">
        <v>445</v>
      </c>
      <c r="J30" s="137" t="s">
        <v>96</v>
      </c>
      <c r="K30" s="542" t="s">
        <v>446</v>
      </c>
      <c r="L30" s="477"/>
      <c r="M30" s="145">
        <v>10</v>
      </c>
      <c r="N30" s="145">
        <v>9</v>
      </c>
      <c r="O30" s="19"/>
      <c r="P30" s="19"/>
      <c r="Q30" s="19"/>
      <c r="R30" s="19"/>
      <c r="S30" s="19"/>
      <c r="T30" s="19"/>
      <c r="U30" s="19"/>
      <c r="V30" s="19"/>
      <c r="W30" s="19"/>
    </row>
    <row r="31" spans="1:23" ht="17.25" customHeight="1">
      <c r="A31" s="19"/>
      <c r="B31" s="567"/>
      <c r="C31" s="128" t="s">
        <v>25</v>
      </c>
      <c r="D31" s="552" t="s">
        <v>447</v>
      </c>
      <c r="E31" s="477"/>
      <c r="F31" s="133">
        <v>11</v>
      </c>
      <c r="G31" s="133">
        <v>10</v>
      </c>
      <c r="H31" s="19"/>
      <c r="I31" s="149" t="s">
        <v>448</v>
      </c>
      <c r="J31" s="137" t="s">
        <v>94</v>
      </c>
      <c r="K31" s="542" t="s">
        <v>449</v>
      </c>
      <c r="L31" s="477"/>
      <c r="M31" s="145">
        <v>12</v>
      </c>
      <c r="N31" s="145">
        <v>11</v>
      </c>
      <c r="O31" s="19"/>
      <c r="P31" s="19"/>
      <c r="Q31" s="19"/>
      <c r="R31" s="19"/>
      <c r="S31" s="19"/>
      <c r="T31" s="19"/>
      <c r="U31" s="19"/>
      <c r="V31" s="19"/>
      <c r="W31" s="19"/>
    </row>
    <row r="32" spans="1:23" ht="17.25" customHeight="1">
      <c r="A32" s="19"/>
      <c r="B32" s="567"/>
      <c r="C32" s="128" t="s">
        <v>26</v>
      </c>
      <c r="D32" s="552" t="s">
        <v>450</v>
      </c>
      <c r="E32" s="477"/>
      <c r="F32" s="133">
        <v>13</v>
      </c>
      <c r="G32" s="133">
        <v>12</v>
      </c>
      <c r="H32" s="19"/>
      <c r="I32" s="155" t="s">
        <v>451</v>
      </c>
      <c r="J32" s="137" t="s">
        <v>452</v>
      </c>
      <c r="K32" s="542" t="s">
        <v>453</v>
      </c>
      <c r="L32" s="477"/>
      <c r="M32" s="145">
        <v>23</v>
      </c>
      <c r="N32" s="145">
        <v>22</v>
      </c>
      <c r="O32" s="19"/>
      <c r="P32" s="545" t="s">
        <v>454</v>
      </c>
      <c r="Q32" s="546" t="s">
        <v>203</v>
      </c>
      <c r="R32" s="477"/>
      <c r="S32" s="65" t="s">
        <v>170</v>
      </c>
      <c r="T32" s="65" t="s">
        <v>201</v>
      </c>
      <c r="U32" s="65" t="s">
        <v>202</v>
      </c>
      <c r="V32" s="19"/>
      <c r="W32" s="19"/>
    </row>
    <row r="33" spans="1:23" ht="17.25" customHeight="1">
      <c r="A33" s="19"/>
      <c r="B33" s="567"/>
      <c r="C33" s="128" t="s">
        <v>27</v>
      </c>
      <c r="D33" s="552" t="s">
        <v>455</v>
      </c>
      <c r="E33" s="477"/>
      <c r="F33" s="133">
        <v>14</v>
      </c>
      <c r="G33" s="133">
        <v>13</v>
      </c>
      <c r="H33" s="19"/>
      <c r="I33" s="157" t="s">
        <v>456</v>
      </c>
      <c r="J33" s="137" t="s">
        <v>54</v>
      </c>
      <c r="K33" s="542" t="s">
        <v>457</v>
      </c>
      <c r="L33" s="477"/>
      <c r="M33" s="542" t="s">
        <v>458</v>
      </c>
      <c r="N33" s="477"/>
      <c r="O33" s="19"/>
      <c r="P33" s="484"/>
      <c r="Q33" s="547" t="s">
        <v>459</v>
      </c>
      <c r="R33" s="84" t="s">
        <v>212</v>
      </c>
      <c r="S33" s="89" t="s">
        <v>244</v>
      </c>
      <c r="T33" s="96" t="s">
        <v>338</v>
      </c>
      <c r="U33" s="161" t="s">
        <v>460</v>
      </c>
      <c r="V33" s="19"/>
      <c r="W33" s="19"/>
    </row>
    <row r="34" spans="1:23" ht="17.25" customHeight="1">
      <c r="A34" s="19"/>
      <c r="B34" s="567"/>
      <c r="C34" s="128" t="s">
        <v>28</v>
      </c>
      <c r="D34" s="552" t="s">
        <v>475</v>
      </c>
      <c r="E34" s="477"/>
      <c r="F34" s="133">
        <v>14</v>
      </c>
      <c r="G34" s="133">
        <v>13</v>
      </c>
      <c r="H34" s="19"/>
      <c r="I34" s="19"/>
      <c r="J34" s="19"/>
      <c r="K34" s="19"/>
      <c r="L34" s="19"/>
      <c r="M34" s="19"/>
      <c r="N34" s="19"/>
      <c r="O34" s="19"/>
      <c r="P34" s="484"/>
      <c r="Q34" s="493"/>
      <c r="R34" s="84" t="s">
        <v>308</v>
      </c>
      <c r="S34" s="84"/>
      <c r="T34" s="96" t="s">
        <v>338</v>
      </c>
      <c r="U34" s="161" t="s">
        <v>460</v>
      </c>
      <c r="V34" s="19"/>
      <c r="W34" s="19"/>
    </row>
    <row r="35" spans="1:23" ht="17.25" customHeight="1">
      <c r="A35" s="19"/>
      <c r="B35" s="165" t="s">
        <v>476</v>
      </c>
      <c r="C35" s="169" t="s">
        <v>479</v>
      </c>
      <c r="D35" s="552" t="s">
        <v>481</v>
      </c>
      <c r="E35" s="477"/>
      <c r="F35" s="133">
        <v>10</v>
      </c>
      <c r="G35" s="133">
        <v>9</v>
      </c>
      <c r="H35" s="19"/>
      <c r="I35" s="545" t="s">
        <v>62</v>
      </c>
      <c r="J35" s="546" t="s">
        <v>203</v>
      </c>
      <c r="K35" s="477"/>
      <c r="L35" s="65" t="s">
        <v>170</v>
      </c>
      <c r="M35" s="65" t="s">
        <v>201</v>
      </c>
      <c r="N35" s="65" t="s">
        <v>202</v>
      </c>
      <c r="O35" s="19"/>
      <c r="P35" s="531"/>
      <c r="Q35" s="124" t="s">
        <v>334</v>
      </c>
      <c r="R35" s="84" t="s">
        <v>212</v>
      </c>
      <c r="S35" s="89" t="s">
        <v>244</v>
      </c>
      <c r="T35" s="96" t="s">
        <v>338</v>
      </c>
      <c r="U35" s="105" t="s">
        <v>326</v>
      </c>
      <c r="V35" s="19"/>
      <c r="W35" s="19"/>
    </row>
    <row r="36" spans="1:23" ht="17.25" customHeight="1">
      <c r="A36" s="19"/>
      <c r="B36" s="179" t="s">
        <v>483</v>
      </c>
      <c r="C36" s="169" t="s">
        <v>484</v>
      </c>
      <c r="D36" s="552" t="s">
        <v>485</v>
      </c>
      <c r="E36" s="477"/>
      <c r="F36" s="133">
        <v>13</v>
      </c>
      <c r="G36" s="133">
        <v>12</v>
      </c>
      <c r="H36" s="19"/>
      <c r="I36" s="484"/>
      <c r="J36" s="547" t="s">
        <v>486</v>
      </c>
      <c r="K36" s="84" t="s">
        <v>212</v>
      </c>
      <c r="L36" s="105" t="s">
        <v>45</v>
      </c>
      <c r="M36" s="92" t="s">
        <v>32</v>
      </c>
      <c r="N36" s="123" t="s">
        <v>344</v>
      </c>
      <c r="O36" s="19"/>
      <c r="P36" s="550" t="s">
        <v>346</v>
      </c>
      <c r="Q36" s="476"/>
      <c r="R36" s="476"/>
      <c r="S36" s="477"/>
      <c r="T36" s="126" t="s">
        <v>493</v>
      </c>
      <c r="U36" s="126" t="s">
        <v>494</v>
      </c>
      <c r="V36" s="19"/>
      <c r="W36" s="19"/>
    </row>
    <row r="37" spans="1:23" ht="17.25" customHeight="1">
      <c r="A37" s="19"/>
      <c r="B37" s="179" t="s">
        <v>476</v>
      </c>
      <c r="C37" s="169" t="s">
        <v>495</v>
      </c>
      <c r="D37" s="552" t="s">
        <v>496</v>
      </c>
      <c r="E37" s="477"/>
      <c r="F37" s="133">
        <v>12</v>
      </c>
      <c r="G37" s="133">
        <v>12</v>
      </c>
      <c r="H37" s="19"/>
      <c r="I37" s="484"/>
      <c r="J37" s="493"/>
      <c r="K37" s="84" t="s">
        <v>308</v>
      </c>
      <c r="L37" s="84"/>
      <c r="M37" s="105" t="s">
        <v>45</v>
      </c>
      <c r="N37" s="123" t="s">
        <v>345</v>
      </c>
      <c r="O37" s="19"/>
      <c r="P37" s="149" t="s">
        <v>501</v>
      </c>
      <c r="Q37" s="150" t="s">
        <v>61</v>
      </c>
      <c r="R37" s="542" t="s">
        <v>351</v>
      </c>
      <c r="S37" s="477"/>
      <c r="T37" s="145">
        <v>5</v>
      </c>
      <c r="U37" s="145">
        <v>4</v>
      </c>
      <c r="V37" s="19"/>
      <c r="W37" s="19"/>
    </row>
    <row r="38" spans="1:23" ht="17.25" customHeight="1">
      <c r="A38" s="19"/>
      <c r="B38" s="179" t="s">
        <v>476</v>
      </c>
      <c r="C38" s="169" t="s">
        <v>398</v>
      </c>
      <c r="D38" s="552" t="s">
        <v>503</v>
      </c>
      <c r="E38" s="477"/>
      <c r="F38" s="133">
        <v>23</v>
      </c>
      <c r="G38" s="133">
        <v>24</v>
      </c>
      <c r="H38" s="19"/>
      <c r="I38" s="531"/>
      <c r="J38" s="124" t="s">
        <v>504</v>
      </c>
      <c r="K38" s="84" t="s">
        <v>212</v>
      </c>
      <c r="L38" s="92" t="s">
        <v>32</v>
      </c>
      <c r="M38" s="96" t="s">
        <v>338</v>
      </c>
      <c r="N38" s="196" t="s">
        <v>505</v>
      </c>
      <c r="O38" s="19"/>
      <c r="P38" s="149" t="s">
        <v>506</v>
      </c>
      <c r="Q38" s="150" t="s">
        <v>60</v>
      </c>
      <c r="R38" s="542" t="s">
        <v>429</v>
      </c>
      <c r="S38" s="477"/>
      <c r="T38" s="145">
        <v>6</v>
      </c>
      <c r="U38" s="145">
        <v>5</v>
      </c>
      <c r="V38" s="19"/>
      <c r="W38" s="19"/>
    </row>
    <row r="39" spans="1:23" ht="17.25" customHeight="1">
      <c r="A39" s="19"/>
      <c r="B39" s="179" t="s">
        <v>476</v>
      </c>
      <c r="C39" s="169" t="s">
        <v>507</v>
      </c>
      <c r="D39" s="552" t="s">
        <v>508</v>
      </c>
      <c r="E39" s="477"/>
      <c r="F39" s="133">
        <v>12</v>
      </c>
      <c r="G39" s="133">
        <v>11</v>
      </c>
      <c r="H39" s="19"/>
      <c r="I39" s="543" t="s">
        <v>346</v>
      </c>
      <c r="J39" s="476"/>
      <c r="K39" s="476"/>
      <c r="L39" s="477"/>
      <c r="M39" s="126" t="s">
        <v>347</v>
      </c>
      <c r="N39" s="126" t="s">
        <v>349</v>
      </c>
      <c r="O39" s="19"/>
      <c r="P39" s="19"/>
      <c r="Q39" s="19"/>
      <c r="R39" s="19"/>
      <c r="S39" s="19"/>
      <c r="T39" s="19"/>
      <c r="U39" s="19"/>
      <c r="V39" s="19"/>
      <c r="W39" s="19"/>
    </row>
    <row r="40" spans="1:23" ht="17.25" customHeight="1">
      <c r="A40" s="19"/>
      <c r="B40" s="179" t="s">
        <v>476</v>
      </c>
      <c r="C40" s="169" t="s">
        <v>509</v>
      </c>
      <c r="D40" s="552" t="s">
        <v>510</v>
      </c>
      <c r="E40" s="477"/>
      <c r="F40" s="133">
        <v>13</v>
      </c>
      <c r="G40" s="133">
        <v>12</v>
      </c>
      <c r="H40" s="19"/>
      <c r="I40" s="203"/>
      <c r="J40" s="137" t="s">
        <v>386</v>
      </c>
      <c r="K40" s="542" t="s">
        <v>399</v>
      </c>
      <c r="L40" s="477"/>
      <c r="M40" s="145">
        <v>5</v>
      </c>
      <c r="N40" s="145">
        <v>4</v>
      </c>
      <c r="O40" s="19"/>
      <c r="P40" s="19"/>
      <c r="Q40" s="19"/>
      <c r="R40" s="19"/>
      <c r="S40" s="19"/>
      <c r="T40" s="19"/>
      <c r="U40" s="19"/>
      <c r="V40" s="19"/>
      <c r="W40" s="19"/>
    </row>
    <row r="41" spans="1:23" ht="17.25" customHeight="1">
      <c r="A41" s="19"/>
      <c r="B41" s="179" t="s">
        <v>483</v>
      </c>
      <c r="C41" s="169" t="s">
        <v>512</v>
      </c>
      <c r="D41" s="552" t="s">
        <v>513</v>
      </c>
      <c r="E41" s="477"/>
      <c r="F41" s="133">
        <v>14</v>
      </c>
      <c r="G41" s="133">
        <v>13</v>
      </c>
      <c r="H41" s="19"/>
      <c r="I41" s="149" t="s">
        <v>448</v>
      </c>
      <c r="J41" s="137" t="s">
        <v>94</v>
      </c>
      <c r="K41" s="542" t="s">
        <v>449</v>
      </c>
      <c r="L41" s="477"/>
      <c r="M41" s="145">
        <v>8</v>
      </c>
      <c r="N41" s="145">
        <v>7</v>
      </c>
      <c r="O41" s="19"/>
      <c r="P41" s="15"/>
      <c r="Q41" s="15"/>
      <c r="R41" s="15"/>
      <c r="S41" s="15"/>
      <c r="T41" s="15"/>
      <c r="U41" s="15"/>
      <c r="V41" s="19"/>
      <c r="W41" s="19"/>
    </row>
    <row r="42" spans="1:23" ht="17.25" customHeight="1">
      <c r="A42" s="19"/>
      <c r="B42" s="179" t="s">
        <v>483</v>
      </c>
      <c r="C42" s="169" t="s">
        <v>514</v>
      </c>
      <c r="D42" s="552" t="s">
        <v>515</v>
      </c>
      <c r="E42" s="477"/>
      <c r="F42" s="133">
        <v>13</v>
      </c>
      <c r="G42" s="133">
        <v>12</v>
      </c>
      <c r="H42" s="19"/>
      <c r="I42" s="149" t="s">
        <v>516</v>
      </c>
      <c r="J42" s="137" t="s">
        <v>95</v>
      </c>
      <c r="K42" s="542" t="s">
        <v>517</v>
      </c>
      <c r="L42" s="477"/>
      <c r="M42" s="145">
        <v>9</v>
      </c>
      <c r="N42" s="145">
        <v>8</v>
      </c>
      <c r="O42" s="19"/>
      <c r="P42" s="545" t="s">
        <v>518</v>
      </c>
      <c r="Q42" s="548" t="s">
        <v>522</v>
      </c>
      <c r="R42" s="477"/>
      <c r="S42" s="208" t="s">
        <v>170</v>
      </c>
      <c r="T42" s="208" t="s">
        <v>201</v>
      </c>
      <c r="U42" s="208" t="s">
        <v>202</v>
      </c>
      <c r="V42" s="19"/>
      <c r="W42" s="19"/>
    </row>
    <row r="43" spans="1:23" ht="17.25" customHeight="1">
      <c r="A43" s="19"/>
      <c r="B43" s="179" t="s">
        <v>476</v>
      </c>
      <c r="C43" s="169" t="s">
        <v>396</v>
      </c>
      <c r="D43" s="552" t="s">
        <v>523</v>
      </c>
      <c r="E43" s="477"/>
      <c r="F43" s="133">
        <v>24</v>
      </c>
      <c r="G43" s="133">
        <v>23</v>
      </c>
      <c r="H43" s="19"/>
      <c r="I43" s="19"/>
      <c r="J43" s="19"/>
      <c r="K43" s="19"/>
      <c r="L43" s="19"/>
      <c r="M43" s="19"/>
      <c r="N43" s="19"/>
      <c r="O43" s="19"/>
      <c r="P43" s="484"/>
      <c r="Q43" s="549" t="s">
        <v>524</v>
      </c>
      <c r="R43" s="210" t="s">
        <v>212</v>
      </c>
      <c r="S43" s="211" t="s">
        <v>530</v>
      </c>
      <c r="T43" s="89" t="s">
        <v>244</v>
      </c>
      <c r="U43" s="105" t="s">
        <v>326</v>
      </c>
      <c r="V43" s="19"/>
      <c r="W43" s="19"/>
    </row>
    <row r="44" spans="1:23" ht="17.25" customHeight="1">
      <c r="A44" s="19"/>
      <c r="B44" s="179" t="s">
        <v>476</v>
      </c>
      <c r="C44" s="169" t="s">
        <v>531</v>
      </c>
      <c r="D44" s="552" t="s">
        <v>532</v>
      </c>
      <c r="E44" s="477"/>
      <c r="F44" s="133">
        <v>24</v>
      </c>
      <c r="G44" s="133">
        <v>23</v>
      </c>
      <c r="H44" s="19"/>
      <c r="O44" s="19"/>
      <c r="P44" s="484"/>
      <c r="Q44" s="493"/>
      <c r="R44" s="212" t="s">
        <v>308</v>
      </c>
      <c r="S44" s="213"/>
      <c r="T44" s="89" t="s">
        <v>244</v>
      </c>
      <c r="U44" s="105" t="s">
        <v>326</v>
      </c>
      <c r="V44" s="19"/>
      <c r="W44" s="19"/>
    </row>
    <row r="45" spans="1:23" ht="17.25" customHeight="1">
      <c r="A45" s="19"/>
      <c r="B45" s="179" t="s">
        <v>476</v>
      </c>
      <c r="C45" s="169" t="s">
        <v>533</v>
      </c>
      <c r="D45" s="552" t="s">
        <v>534</v>
      </c>
      <c r="E45" s="477"/>
      <c r="F45" s="133">
        <v>13</v>
      </c>
      <c r="G45" s="133">
        <v>12</v>
      </c>
      <c r="H45" s="19"/>
      <c r="I45" s="545" t="s">
        <v>535</v>
      </c>
      <c r="J45" s="548" t="s">
        <v>536</v>
      </c>
      <c r="K45" s="477"/>
      <c r="L45" s="208" t="s">
        <v>170</v>
      </c>
      <c r="M45" s="208" t="s">
        <v>201</v>
      </c>
      <c r="N45" s="208" t="s">
        <v>202</v>
      </c>
      <c r="O45" s="19"/>
      <c r="P45" s="531"/>
      <c r="Q45" s="214" t="s">
        <v>537</v>
      </c>
      <c r="R45" s="212" t="s">
        <v>212</v>
      </c>
      <c r="S45" s="211" t="s">
        <v>530</v>
      </c>
      <c r="T45" s="89" t="s">
        <v>244</v>
      </c>
      <c r="U45" s="215" t="s">
        <v>538</v>
      </c>
      <c r="V45" s="19"/>
      <c r="W45" s="19"/>
    </row>
    <row r="46" spans="1:23" ht="17.25" customHeight="1">
      <c r="A46" s="19"/>
      <c r="B46" s="179" t="s">
        <v>476</v>
      </c>
      <c r="C46" s="169" t="s">
        <v>82</v>
      </c>
      <c r="D46" s="552" t="s">
        <v>539</v>
      </c>
      <c r="E46" s="477"/>
      <c r="F46" s="133">
        <v>17</v>
      </c>
      <c r="G46" s="133">
        <v>16</v>
      </c>
      <c r="H46" s="19"/>
      <c r="I46" s="484"/>
      <c r="J46" s="549" t="s">
        <v>524</v>
      </c>
      <c r="K46" s="84" t="s">
        <v>212</v>
      </c>
      <c r="L46" s="89" t="s">
        <v>244</v>
      </c>
      <c r="M46" s="96" t="s">
        <v>338</v>
      </c>
      <c r="N46" s="161" t="s">
        <v>460</v>
      </c>
      <c r="O46" s="216"/>
      <c r="P46" s="550" t="s">
        <v>346</v>
      </c>
      <c r="Q46" s="476"/>
      <c r="R46" s="476"/>
      <c r="S46" s="477"/>
      <c r="T46" s="217"/>
      <c r="U46" s="217" t="s">
        <v>349</v>
      </c>
      <c r="V46" s="19"/>
      <c r="W46" s="19"/>
    </row>
    <row r="47" spans="1:23" ht="17.25" customHeight="1">
      <c r="A47" s="19"/>
      <c r="B47" s="179" t="s">
        <v>476</v>
      </c>
      <c r="C47" s="169" t="s">
        <v>540</v>
      </c>
      <c r="D47" s="552" t="s">
        <v>541</v>
      </c>
      <c r="E47" s="477"/>
      <c r="F47" s="133">
        <v>17</v>
      </c>
      <c r="G47" s="133">
        <v>16</v>
      </c>
      <c r="H47" s="19"/>
      <c r="I47" s="484"/>
      <c r="J47" s="493"/>
      <c r="K47" s="84" t="s">
        <v>308</v>
      </c>
      <c r="L47" s="84"/>
      <c r="M47" s="96" t="s">
        <v>338</v>
      </c>
      <c r="N47" s="161" t="s">
        <v>460</v>
      </c>
      <c r="O47" s="53"/>
      <c r="P47" s="218"/>
      <c r="Q47" s="145" t="s">
        <v>386</v>
      </c>
      <c r="R47" s="542" t="s">
        <v>399</v>
      </c>
      <c r="S47" s="477"/>
      <c r="T47" s="219"/>
      <c r="U47" s="219">
        <v>4</v>
      </c>
      <c r="V47" s="19"/>
      <c r="W47" s="19"/>
    </row>
    <row r="48" spans="1:23" ht="17.25" customHeight="1">
      <c r="A48" s="19"/>
      <c r="B48" s="179" t="s">
        <v>476</v>
      </c>
      <c r="C48" s="169" t="s">
        <v>543</v>
      </c>
      <c r="D48" s="552" t="s">
        <v>544</v>
      </c>
      <c r="E48" s="477"/>
      <c r="F48" s="133">
        <v>18</v>
      </c>
      <c r="G48" s="133">
        <v>17</v>
      </c>
      <c r="H48" s="19"/>
      <c r="I48" s="531"/>
      <c r="J48" s="214" t="s">
        <v>334</v>
      </c>
      <c r="K48" s="84" t="s">
        <v>212</v>
      </c>
      <c r="L48" s="89" t="s">
        <v>244</v>
      </c>
      <c r="M48" s="96" t="s">
        <v>338</v>
      </c>
      <c r="N48" s="105" t="s">
        <v>326</v>
      </c>
      <c r="O48" s="19"/>
      <c r="P48" s="220" t="s">
        <v>545</v>
      </c>
      <c r="Q48" s="150" t="s">
        <v>61</v>
      </c>
      <c r="R48" s="542" t="s">
        <v>351</v>
      </c>
      <c r="S48" s="477"/>
      <c r="T48" s="219"/>
      <c r="U48" s="219">
        <v>5</v>
      </c>
      <c r="V48" s="19"/>
      <c r="W48" s="19"/>
    </row>
    <row r="49" spans="1:23" ht="17.25" customHeight="1">
      <c r="A49" s="19"/>
      <c r="B49" s="179" t="s">
        <v>476</v>
      </c>
      <c r="C49" s="169" t="s">
        <v>54</v>
      </c>
      <c r="D49" s="552" t="s">
        <v>546</v>
      </c>
      <c r="E49" s="477"/>
      <c r="F49" s="133">
        <v>14</v>
      </c>
      <c r="G49" s="133">
        <v>13</v>
      </c>
      <c r="H49" s="19"/>
      <c r="I49" s="550" t="s">
        <v>346</v>
      </c>
      <c r="J49" s="476"/>
      <c r="K49" s="476"/>
      <c r="L49" s="477"/>
      <c r="M49" s="217"/>
      <c r="N49" s="217" t="s">
        <v>547</v>
      </c>
      <c r="O49" s="19"/>
      <c r="P49" s="220" t="s">
        <v>548</v>
      </c>
      <c r="Q49" s="219" t="s">
        <v>514</v>
      </c>
      <c r="R49" s="544" t="s">
        <v>549</v>
      </c>
      <c r="S49" s="477"/>
      <c r="T49" s="219"/>
      <c r="U49" s="219">
        <v>10</v>
      </c>
      <c r="V49" s="19"/>
      <c r="W49" s="19"/>
    </row>
    <row r="50" spans="1:23" ht="17.25" customHeight="1">
      <c r="A50" s="19"/>
      <c r="B50" s="179" t="s">
        <v>476</v>
      </c>
      <c r="C50" s="169" t="s">
        <v>552</v>
      </c>
      <c r="D50" s="552" t="s">
        <v>553</v>
      </c>
      <c r="E50" s="477"/>
      <c r="F50" s="133">
        <v>14</v>
      </c>
      <c r="G50" s="133">
        <v>13</v>
      </c>
      <c r="H50" s="19"/>
      <c r="I50" s="220" t="s">
        <v>554</v>
      </c>
      <c r="J50" s="150" t="s">
        <v>394</v>
      </c>
      <c r="K50" s="542" t="s">
        <v>555</v>
      </c>
      <c r="L50" s="477"/>
      <c r="M50" s="219"/>
      <c r="N50" s="219">
        <v>4</v>
      </c>
      <c r="O50" s="19"/>
      <c r="P50" s="220" t="s">
        <v>557</v>
      </c>
      <c r="Q50" s="219" t="s">
        <v>558</v>
      </c>
      <c r="R50" s="544" t="s">
        <v>560</v>
      </c>
      <c r="S50" s="477"/>
      <c r="T50" s="219"/>
      <c r="U50" s="219">
        <v>11</v>
      </c>
      <c r="V50" s="19"/>
      <c r="W50" s="19"/>
    </row>
    <row r="51" spans="1:23" ht="17.25" customHeight="1">
      <c r="A51" s="19"/>
      <c r="B51" s="224"/>
      <c r="C51" s="224"/>
      <c r="D51" s="224"/>
      <c r="E51" s="224"/>
      <c r="F51" s="224"/>
      <c r="G51" s="224"/>
      <c r="H51" s="19"/>
      <c r="I51" s="220" t="s">
        <v>563</v>
      </c>
      <c r="J51" s="150" t="s">
        <v>395</v>
      </c>
      <c r="K51" s="542" t="s">
        <v>564</v>
      </c>
      <c r="L51" s="477"/>
      <c r="M51" s="219"/>
      <c r="N51" s="219">
        <v>6</v>
      </c>
      <c r="O51" s="19"/>
      <c r="P51" s="149" t="s">
        <v>445</v>
      </c>
      <c r="Q51" s="145" t="s">
        <v>96</v>
      </c>
      <c r="R51" s="542" t="s">
        <v>446</v>
      </c>
      <c r="S51" s="477"/>
      <c r="T51" s="219"/>
      <c r="U51" s="219">
        <v>13</v>
      </c>
      <c r="V51" s="19"/>
      <c r="W51" s="19"/>
    </row>
    <row r="52" spans="1:23" ht="17.25" customHeight="1">
      <c r="A52" s="19"/>
      <c r="B52" s="224"/>
      <c r="C52" s="224"/>
      <c r="D52" s="224"/>
      <c r="E52" s="224"/>
      <c r="F52" s="224"/>
      <c r="G52" s="224"/>
      <c r="H52" s="19"/>
      <c r="I52" s="228" t="s">
        <v>565</v>
      </c>
      <c r="J52" s="230" t="s">
        <v>396</v>
      </c>
      <c r="K52" s="544" t="s">
        <v>523</v>
      </c>
      <c r="L52" s="477"/>
      <c r="M52" s="219"/>
      <c r="N52" s="219">
        <v>14</v>
      </c>
      <c r="O52" s="224"/>
      <c r="P52" s="19"/>
      <c r="Q52" s="19"/>
      <c r="R52" s="19"/>
      <c r="S52" s="19"/>
      <c r="T52" s="19"/>
      <c r="U52" s="19"/>
      <c r="V52" s="19"/>
      <c r="W52" s="19"/>
    </row>
    <row r="53" spans="1:23" ht="17.25" customHeight="1">
      <c r="A53" s="19"/>
      <c r="B53" s="224"/>
      <c r="C53" s="224"/>
      <c r="D53" s="224"/>
      <c r="E53" s="224"/>
      <c r="F53" s="224"/>
      <c r="G53" s="224"/>
      <c r="H53" s="19"/>
      <c r="I53" s="220" t="s">
        <v>567</v>
      </c>
      <c r="J53" s="230" t="s">
        <v>397</v>
      </c>
      <c r="K53" s="544" t="s">
        <v>568</v>
      </c>
      <c r="L53" s="477"/>
      <c r="M53" s="219"/>
      <c r="N53" s="219">
        <v>16</v>
      </c>
      <c r="O53" s="224"/>
      <c r="P53" s="19"/>
      <c r="Q53" s="19"/>
      <c r="R53" s="19"/>
      <c r="S53" s="19"/>
      <c r="T53" s="19"/>
      <c r="U53" s="19"/>
      <c r="V53" s="19"/>
      <c r="W53" s="19"/>
    </row>
    <row r="54" spans="1:23" ht="17.25" customHeight="1">
      <c r="A54" s="19"/>
      <c r="B54" s="224"/>
      <c r="C54" s="224"/>
      <c r="D54" s="224"/>
      <c r="E54" s="224"/>
      <c r="F54" s="224"/>
      <c r="G54" s="224"/>
      <c r="H54" s="19"/>
      <c r="I54" s="149" t="s">
        <v>569</v>
      </c>
      <c r="J54" s="150" t="s">
        <v>398</v>
      </c>
      <c r="K54" s="542" t="s">
        <v>570</v>
      </c>
      <c r="L54" s="477"/>
      <c r="M54" s="219"/>
      <c r="N54" s="219">
        <v>18</v>
      </c>
      <c r="O54" s="224"/>
      <c r="P54" s="553" t="s">
        <v>39</v>
      </c>
      <c r="Q54" s="554" t="s">
        <v>135</v>
      </c>
      <c r="R54" s="477"/>
      <c r="S54" s="64" t="s">
        <v>170</v>
      </c>
      <c r="T54" s="64" t="s">
        <v>201</v>
      </c>
      <c r="U54" s="64" t="s">
        <v>202</v>
      </c>
      <c r="V54" s="19"/>
      <c r="W54" s="19"/>
    </row>
    <row r="55" spans="1:23" ht="17.25" customHeight="1">
      <c r="A55" s="19"/>
      <c r="B55" s="224"/>
      <c r="C55" s="224"/>
      <c r="D55" s="224"/>
      <c r="E55" s="224"/>
      <c r="F55" s="224"/>
      <c r="G55" s="224"/>
      <c r="H55" s="19"/>
      <c r="I55" s="224"/>
      <c r="J55" s="224"/>
      <c r="K55" s="224"/>
      <c r="L55" s="224"/>
      <c r="M55" s="224"/>
      <c r="N55" s="224"/>
      <c r="O55" s="224"/>
      <c r="P55" s="484"/>
      <c r="Q55" s="555"/>
      <c r="R55" s="72" t="s">
        <v>212</v>
      </c>
      <c r="S55" s="236" t="s">
        <v>45</v>
      </c>
      <c r="T55" s="236" t="s">
        <v>32</v>
      </c>
      <c r="U55" s="236" t="s">
        <v>344</v>
      </c>
      <c r="V55" s="19"/>
      <c r="W55" s="19"/>
    </row>
    <row r="56" spans="1:23" ht="17.25" customHeight="1">
      <c r="A56" s="19"/>
      <c r="B56" s="224"/>
      <c r="C56" s="224"/>
      <c r="D56" s="224"/>
      <c r="E56" s="224"/>
      <c r="F56" s="224"/>
      <c r="G56" s="224"/>
      <c r="H56" s="19"/>
      <c r="I56" s="224"/>
      <c r="J56" s="224"/>
      <c r="K56" s="224"/>
      <c r="L56" s="224"/>
      <c r="M56" s="224"/>
      <c r="N56" s="224"/>
      <c r="O56" s="224"/>
      <c r="P56" s="484"/>
      <c r="Q56" s="493"/>
      <c r="R56" s="72" t="s">
        <v>308</v>
      </c>
      <c r="S56" s="72"/>
      <c r="T56" s="236" t="s">
        <v>45</v>
      </c>
      <c r="U56" s="236" t="s">
        <v>345</v>
      </c>
      <c r="V56" s="19"/>
      <c r="W56" s="19"/>
    </row>
    <row r="57" spans="1:23" ht="17.25" customHeight="1">
      <c r="A57" s="19"/>
      <c r="B57" s="224"/>
      <c r="C57" s="224"/>
      <c r="D57" s="224"/>
      <c r="E57" s="224"/>
      <c r="F57" s="224"/>
      <c r="G57" s="224"/>
      <c r="H57" s="19"/>
      <c r="I57" s="224"/>
      <c r="J57" s="224"/>
      <c r="K57" s="224"/>
      <c r="L57" s="224"/>
      <c r="M57" s="224"/>
      <c r="N57" s="224"/>
      <c r="O57" s="224"/>
      <c r="P57" s="531"/>
      <c r="Q57" s="116" t="s">
        <v>504</v>
      </c>
      <c r="R57" s="72" t="s">
        <v>212</v>
      </c>
      <c r="S57" s="236" t="s">
        <v>32</v>
      </c>
      <c r="T57" s="236" t="s">
        <v>338</v>
      </c>
      <c r="U57" s="236" t="s">
        <v>505</v>
      </c>
      <c r="V57" s="19"/>
      <c r="W57" s="19"/>
    </row>
    <row r="58" spans="1:23" ht="17.25" customHeight="1">
      <c r="A58" s="19"/>
      <c r="B58" s="224"/>
      <c r="C58" s="224"/>
      <c r="D58" s="224"/>
      <c r="E58" s="224"/>
      <c r="F58" s="224"/>
      <c r="G58" s="224"/>
      <c r="H58" s="19"/>
      <c r="I58" s="224"/>
      <c r="J58" s="224"/>
      <c r="K58" s="224"/>
      <c r="L58" s="224"/>
      <c r="M58" s="224"/>
      <c r="N58" s="224"/>
      <c r="O58" s="224"/>
      <c r="P58" s="551" t="s">
        <v>346</v>
      </c>
      <c r="Q58" s="476"/>
      <c r="R58" s="476"/>
      <c r="S58" s="477"/>
      <c r="T58" s="116"/>
      <c r="U58" s="116" t="s">
        <v>349</v>
      </c>
      <c r="V58" s="19"/>
      <c r="W58" s="19"/>
    </row>
    <row r="59" spans="1:23" ht="17.25" customHeight="1">
      <c r="A59" s="19"/>
      <c r="B59" s="224"/>
      <c r="C59" s="224"/>
      <c r="D59" s="224"/>
      <c r="E59" s="224"/>
      <c r="F59" s="224"/>
      <c r="G59" s="224"/>
      <c r="H59" s="19"/>
      <c r="I59" s="224"/>
      <c r="J59" s="224"/>
      <c r="K59" s="224"/>
      <c r="L59" s="224"/>
      <c r="M59" s="224"/>
      <c r="N59" s="224"/>
      <c r="O59" s="224"/>
      <c r="P59" s="240"/>
      <c r="Q59" s="169" t="s">
        <v>386</v>
      </c>
      <c r="R59" s="552" t="s">
        <v>399</v>
      </c>
      <c r="S59" s="477"/>
      <c r="T59" s="133"/>
      <c r="U59" s="133">
        <v>5</v>
      </c>
      <c r="V59" s="19"/>
      <c r="W59" s="19"/>
    </row>
    <row r="60" spans="1:23" ht="17.25" customHeight="1">
      <c r="A60" s="19"/>
      <c r="B60" s="224"/>
      <c r="C60" s="224"/>
      <c r="D60" s="224"/>
      <c r="E60" s="224"/>
      <c r="F60" s="224"/>
      <c r="G60" s="224"/>
      <c r="H60" s="19"/>
      <c r="I60" s="224"/>
      <c r="J60" s="224"/>
      <c r="K60" s="224"/>
      <c r="L60" s="224"/>
      <c r="M60" s="224"/>
      <c r="N60" s="224"/>
      <c r="O60" s="224"/>
      <c r="P60" s="240"/>
      <c r="Q60" s="169" t="s">
        <v>60</v>
      </c>
      <c r="R60" s="552" t="s">
        <v>429</v>
      </c>
      <c r="S60" s="477"/>
      <c r="T60" s="133"/>
      <c r="U60" s="133">
        <v>6</v>
      </c>
      <c r="V60" s="19"/>
      <c r="W60" s="19"/>
    </row>
    <row r="61" spans="1:23" ht="17.25" customHeight="1">
      <c r="A61" s="19"/>
      <c r="B61" s="224"/>
      <c r="C61" s="224"/>
      <c r="D61" s="224"/>
      <c r="E61" s="224"/>
      <c r="F61" s="224"/>
      <c r="G61" s="224"/>
      <c r="H61" s="19"/>
      <c r="I61" s="224"/>
      <c r="J61" s="224"/>
      <c r="K61" s="224"/>
      <c r="L61" s="224"/>
      <c r="M61" s="224"/>
      <c r="N61" s="224"/>
      <c r="O61" s="224"/>
      <c r="P61" s="241" t="s">
        <v>580</v>
      </c>
      <c r="Q61" s="128" t="s">
        <v>28</v>
      </c>
      <c r="R61" s="552" t="s">
        <v>475</v>
      </c>
      <c r="S61" s="477"/>
      <c r="T61" s="133"/>
      <c r="U61" s="133">
        <v>11</v>
      </c>
      <c r="V61" s="19"/>
      <c r="W61" s="19"/>
    </row>
    <row r="62" spans="1:23" ht="17.25" customHeight="1">
      <c r="A62" s="19"/>
      <c r="B62" s="224"/>
      <c r="C62" s="224"/>
      <c r="D62" s="224"/>
      <c r="E62" s="224"/>
      <c r="F62" s="224"/>
      <c r="G62" s="224"/>
      <c r="H62" s="19"/>
      <c r="I62" s="224"/>
      <c r="J62" s="224"/>
      <c r="K62" s="224"/>
      <c r="L62" s="224"/>
      <c r="M62" s="224"/>
      <c r="N62" s="224"/>
      <c r="O62" s="224"/>
      <c r="P62" s="241" t="s">
        <v>584</v>
      </c>
      <c r="Q62" s="128" t="s">
        <v>27</v>
      </c>
      <c r="R62" s="552" t="s">
        <v>455</v>
      </c>
      <c r="S62" s="477"/>
      <c r="T62" s="133"/>
      <c r="U62" s="133">
        <v>12</v>
      </c>
      <c r="V62" s="19"/>
      <c r="W62" s="19"/>
    </row>
    <row r="63" spans="1:23" ht="17.25" customHeight="1">
      <c r="A63" s="19"/>
      <c r="B63" s="224"/>
      <c r="C63" s="224"/>
      <c r="D63" s="224"/>
      <c r="E63" s="224"/>
      <c r="F63" s="224"/>
      <c r="G63" s="224"/>
      <c r="H63" s="19"/>
      <c r="I63" s="224"/>
      <c r="J63" s="224"/>
      <c r="K63" s="224"/>
      <c r="L63" s="224"/>
      <c r="M63" s="224"/>
      <c r="N63" s="224"/>
      <c r="O63" s="224"/>
      <c r="P63" s="241" t="s">
        <v>586</v>
      </c>
      <c r="Q63" s="128" t="s">
        <v>26</v>
      </c>
      <c r="R63" s="552" t="s">
        <v>450</v>
      </c>
      <c r="S63" s="477"/>
      <c r="T63" s="133"/>
      <c r="U63" s="133">
        <v>13</v>
      </c>
      <c r="V63" s="19"/>
      <c r="W63" s="19"/>
    </row>
    <row r="64" spans="1:23" ht="17.25" customHeight="1">
      <c r="A64" s="19"/>
      <c r="B64" s="224"/>
      <c r="C64" s="224"/>
      <c r="D64" s="224"/>
      <c r="E64" s="224"/>
      <c r="F64" s="224"/>
      <c r="G64" s="224"/>
      <c r="H64" s="19"/>
      <c r="I64" s="224"/>
      <c r="J64" s="224"/>
      <c r="K64" s="224"/>
      <c r="L64" s="224"/>
      <c r="M64" s="224"/>
      <c r="N64" s="224"/>
      <c r="O64" s="224"/>
      <c r="P64" s="241" t="s">
        <v>588</v>
      </c>
      <c r="Q64" s="128" t="s">
        <v>24</v>
      </c>
      <c r="R64" s="552" t="s">
        <v>444</v>
      </c>
      <c r="S64" s="477"/>
      <c r="T64" s="133"/>
      <c r="U64" s="133">
        <v>14</v>
      </c>
      <c r="V64" s="19"/>
      <c r="W64" s="19"/>
    </row>
    <row r="65" spans="1:23" ht="17.25" customHeight="1">
      <c r="A65" s="19"/>
      <c r="B65" s="224"/>
      <c r="C65" s="224"/>
      <c r="D65" s="224"/>
      <c r="E65" s="224"/>
      <c r="F65" s="224"/>
      <c r="G65" s="224"/>
      <c r="H65" s="19"/>
      <c r="I65" s="224"/>
      <c r="J65" s="224"/>
      <c r="K65" s="224"/>
      <c r="L65" s="224"/>
      <c r="M65" s="224"/>
      <c r="N65" s="224"/>
      <c r="O65" s="224"/>
      <c r="P65" s="241" t="s">
        <v>589</v>
      </c>
      <c r="Q65" s="128" t="s">
        <v>25</v>
      </c>
      <c r="R65" s="552" t="s">
        <v>447</v>
      </c>
      <c r="S65" s="477"/>
      <c r="T65" s="133"/>
      <c r="U65" s="133">
        <v>14</v>
      </c>
      <c r="V65" s="19"/>
      <c r="W65" s="19"/>
    </row>
  </sheetData>
  <mergeCells count="105">
    <mergeCell ref="R37:S37"/>
    <mergeCell ref="R38:S38"/>
    <mergeCell ref="I39:L39"/>
    <mergeCell ref="J22:K22"/>
    <mergeCell ref="P22:P25"/>
    <mergeCell ref="J23:J24"/>
    <mergeCell ref="D30:E30"/>
    <mergeCell ref="D31:E31"/>
    <mergeCell ref="C22:D22"/>
    <mergeCell ref="C23:C24"/>
    <mergeCell ref="B26:E26"/>
    <mergeCell ref="D27:E27"/>
    <mergeCell ref="D28:E28"/>
    <mergeCell ref="D29:E29"/>
    <mergeCell ref="B30:B34"/>
    <mergeCell ref="D34:E34"/>
    <mergeCell ref="B11:D11"/>
    <mergeCell ref="E11:I11"/>
    <mergeCell ref="B12:D12"/>
    <mergeCell ref="E12:I12"/>
    <mergeCell ref="E13:I13"/>
    <mergeCell ref="B13:D13"/>
    <mergeCell ref="B21:F21"/>
    <mergeCell ref="B22:B25"/>
    <mergeCell ref="I22:I25"/>
    <mergeCell ref="L6:T6"/>
    <mergeCell ref="B7:D7"/>
    <mergeCell ref="E7:I7"/>
    <mergeCell ref="B8:D8"/>
    <mergeCell ref="E8:I8"/>
    <mergeCell ref="B9:D9"/>
    <mergeCell ref="E9:I9"/>
    <mergeCell ref="B10:D10"/>
    <mergeCell ref="E10:I10"/>
    <mergeCell ref="D43:E43"/>
    <mergeCell ref="D44:E44"/>
    <mergeCell ref="D45:E45"/>
    <mergeCell ref="D46:E46"/>
    <mergeCell ref="D47:E47"/>
    <mergeCell ref="D48:E48"/>
    <mergeCell ref="D49:E49"/>
    <mergeCell ref="D50:E50"/>
    <mergeCell ref="D32:E32"/>
    <mergeCell ref="D33:E33"/>
    <mergeCell ref="D38:E38"/>
    <mergeCell ref="D39:E39"/>
    <mergeCell ref="D40:E40"/>
    <mergeCell ref="D41:E41"/>
    <mergeCell ref="D42:E42"/>
    <mergeCell ref="D35:E35"/>
    <mergeCell ref="D36:E36"/>
    <mergeCell ref="D37:E37"/>
    <mergeCell ref="R62:S62"/>
    <mergeCell ref="R63:S63"/>
    <mergeCell ref="R64:S64"/>
    <mergeCell ref="R65:S65"/>
    <mergeCell ref="R48:S48"/>
    <mergeCell ref="R49:S49"/>
    <mergeCell ref="R50:S50"/>
    <mergeCell ref="R51:S51"/>
    <mergeCell ref="P54:P57"/>
    <mergeCell ref="Q54:R54"/>
    <mergeCell ref="Q55:Q56"/>
    <mergeCell ref="P42:P45"/>
    <mergeCell ref="Q42:R42"/>
    <mergeCell ref="Q43:Q44"/>
    <mergeCell ref="P46:S46"/>
    <mergeCell ref="R47:S47"/>
    <mergeCell ref="P58:S58"/>
    <mergeCell ref="R59:S59"/>
    <mergeCell ref="R60:S60"/>
    <mergeCell ref="R61:S61"/>
    <mergeCell ref="Q22:R22"/>
    <mergeCell ref="Q23:Q24"/>
    <mergeCell ref="P26:S26"/>
    <mergeCell ref="R27:S27"/>
    <mergeCell ref="R28:S28"/>
    <mergeCell ref="P32:P35"/>
    <mergeCell ref="Q32:R32"/>
    <mergeCell ref="Q33:Q34"/>
    <mergeCell ref="P36:S36"/>
    <mergeCell ref="K50:L50"/>
    <mergeCell ref="K51:L51"/>
    <mergeCell ref="K52:L52"/>
    <mergeCell ref="K53:L53"/>
    <mergeCell ref="K54:L54"/>
    <mergeCell ref="I35:I38"/>
    <mergeCell ref="J35:K35"/>
    <mergeCell ref="J36:J37"/>
    <mergeCell ref="I45:I48"/>
    <mergeCell ref="J45:K45"/>
    <mergeCell ref="J46:J47"/>
    <mergeCell ref="I49:L49"/>
    <mergeCell ref="K40:L40"/>
    <mergeCell ref="K41:L41"/>
    <mergeCell ref="K42:L42"/>
    <mergeCell ref="K33:L33"/>
    <mergeCell ref="M33:N33"/>
    <mergeCell ref="I26:L26"/>
    <mergeCell ref="K27:L27"/>
    <mergeCell ref="K28:L28"/>
    <mergeCell ref="K29:L29"/>
    <mergeCell ref="K30:L30"/>
    <mergeCell ref="K31:L31"/>
    <mergeCell ref="K32:L32"/>
  </mergeCells>
  <phoneticPr fontId="149" type="noConversion"/>
  <hyperlinks>
    <hyperlink ref="L6" r:id="rId1" xr:uid="{00000000-0004-0000-0300-000000000000}"/>
  </hyperlinks>
  <printOptions horizontalCentered="1" verticalCentered="1"/>
  <pageMargins left="0.7" right="0.7" top="0.75" bottom="0.75" header="0" footer="0"/>
  <pageSetup paperSize="9" pageOrder="overThenDown" orientation="landscape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  <outlinePr summaryBelow="0" summaryRight="0"/>
  </sheetPr>
  <dimension ref="A1:M1000"/>
  <sheetViews>
    <sheetView workbookViewId="0">
      <pane ySplit="1" topLeftCell="A2" activePane="bottomLeft" state="frozen"/>
      <selection pane="bottomLeft" activeCell="B3" sqref="B3"/>
    </sheetView>
  </sheetViews>
  <sheetFormatPr defaultColWidth="10.09765625" defaultRowHeight="15" customHeight="1"/>
  <cols>
    <col min="1" max="1" width="6.3984375" customWidth="1"/>
    <col min="2" max="2" width="17" customWidth="1"/>
    <col min="3" max="3" width="6.296875" customWidth="1"/>
    <col min="4" max="4" width="12.19921875" customWidth="1"/>
    <col min="5" max="5" width="11.8984375" customWidth="1"/>
    <col min="6" max="6" width="13.5" customWidth="1"/>
    <col min="7" max="7" width="12.3984375" customWidth="1"/>
    <col min="8" max="8" width="13.59765625" customWidth="1"/>
    <col min="9" max="9" width="14.296875" customWidth="1"/>
    <col min="10" max="10" width="13.296875" customWidth="1"/>
    <col min="11" max="11" width="13.09765625" customWidth="1"/>
    <col min="12" max="12" width="11.796875" customWidth="1"/>
    <col min="13" max="13" width="17.796875" customWidth="1"/>
  </cols>
  <sheetData>
    <row r="1" spans="1:13" ht="18.75" hidden="1">
      <c r="A1" s="58" t="str">
        <f ca="1">IFERROR(__xludf.DUMMYFUNCTION("IMPORTRANGE(""https://docs.google.com/spreadsheets/d/1Ues3aYdZTjxbRUprd2Z463lhzBkcAWNA45DPBLEoTgs/edit"",""2025!A:M"")")," ")</f>
        <v xml:space="preserve"> </v>
      </c>
      <c r="B1" s="58" t="str">
        <f ca="1">IFERROR(__xludf.DUMMYFUNCTION("""COMPUTED_VALUE"""),"VESSEL NAME")</f>
        <v>VESSEL NAME</v>
      </c>
      <c r="C1" s="60" t="str">
        <f ca="1">IFERROR(__xludf.DUMMYFUNCTION("""COMPUTED_VALUE"""),"PORT")</f>
        <v>PORT</v>
      </c>
      <c r="D1" s="58" t="str">
        <f ca="1">IFERROR(__xludf.DUMMYFUNCTION("""COMPUTED_VALUE"""),"PERFOMA ETD")</f>
        <v>PERFOMA ETD</v>
      </c>
      <c r="E1" s="58" t="str">
        <f ca="1">IFERROR(__xludf.DUMMYFUNCTION("""COMPUTED_VALUE"""),"EX.RATE/DATE/")</f>
        <v>EX.RATE/DATE/</v>
      </c>
      <c r="F1" s="58" t="str">
        <f ca="1">IFERROR(__xludf.DUMMYFUNCTION("""COMPUTED_VALUE"""),"SI CUT OFF USA")</f>
        <v>SI CUT OFF USA</v>
      </c>
      <c r="G1" s="58" t="str">
        <f ca="1">IFERROR(__xludf.DUMMYFUNCTION("""COMPUTED_VALUE"""),"SI CUT OFF")</f>
        <v>SI CUT OFF</v>
      </c>
      <c r="H1" s="58" t="str">
        <f ca="1">IFERROR(__xludf.DUMMYFUNCTION("""COMPUTED_VALUE"""),"B/L CFM USA")</f>
        <v>B/L CFM USA</v>
      </c>
      <c r="I1" s="58" t="str">
        <f ca="1">IFERROR(__xludf.DUMMYFUNCTION("""COMPUTED_VALUE"""),"B/L CFM CHINA,JP,VN")</f>
        <v>B/L CFM CHINA,JP,VN</v>
      </c>
      <c r="J1" s="58" t="str">
        <f ca="1">IFERROR(__xludf.DUMMYFUNCTION("""COMPUTED_VALUE"""),"B/L CONFIRM")</f>
        <v>B/L CONFIRM</v>
      </c>
      <c r="K1" s="58" t="str">
        <f ca="1">IFERROR(__xludf.DUMMYFUNCTION("""COMPUTED_VALUE"""),"ETD")</f>
        <v>ETD</v>
      </c>
      <c r="L1" s="58" t="str">
        <f ca="1">IFERROR(__xludf.DUMMYFUNCTION("""COMPUTED_VALUE"""),"ATD")</f>
        <v>ATD</v>
      </c>
      <c r="M1" s="58" t="str">
        <f ca="1">IFERROR(__xludf.DUMMYFUNCTION("""COMPUTED_VALUE"""),"B/L ISSUED DATE")</f>
        <v>B/L ISSUED DATE</v>
      </c>
    </row>
    <row r="2" spans="1:13" ht="18.75" hidden="1">
      <c r="A2" s="62"/>
      <c r="B2" s="63"/>
      <c r="C2" s="67"/>
      <c r="D2" s="62"/>
      <c r="E2" s="62" t="str">
        <f ca="1">IFERROR(__xludf.DUMMYFUNCTION("""COMPUTED_VALUE"""),"BANGKOK BANK")</f>
        <v>BANGKOK BANK</v>
      </c>
      <c r="F2" s="69" t="str">
        <f ca="1">IFERROR(__xludf.DUMMYFUNCTION("""COMPUTED_VALUE"""),"4 days before ETD")</f>
        <v>4 days before ETD</v>
      </c>
      <c r="G2" s="69"/>
      <c r="H2" s="62" t="str">
        <f ca="1">IFERROR(__xludf.DUMMYFUNCTION("""COMPUTED_VALUE"""),"3 days before ETD")</f>
        <v>3 days before ETD</v>
      </c>
      <c r="I2" s="62" t="str">
        <f ca="1">IFERROR(__xludf.DUMMYFUNCTION("""COMPUTED_VALUE"""),"Direct port CUT OFF")</f>
        <v>Direct port CUT OFF</v>
      </c>
      <c r="J2" s="62" t="str">
        <f ca="1">IFERROR(__xludf.DUMMYFUNCTION("""COMPUTED_VALUE"""),"Orther port CUT OFF")</f>
        <v>Orther port CUT OFF</v>
      </c>
      <c r="K2" s="62" t="str">
        <f ca="1">IFERROR(__xludf.DUMMYFUNCTION("""COMPUTED_VALUE"""),"ON BOARD DATE")</f>
        <v>ON BOARD DATE</v>
      </c>
      <c r="L2" s="71" t="str">
        <f ca="1">IFERROR(__xludf.DUMMYFUNCTION("""COMPUTED_VALUE"""),"วันเรือออกจริง")</f>
        <v>วันเรือออกจริง</v>
      </c>
      <c r="M2" s="62" t="str">
        <f ca="1">IFERROR(__xludf.DUMMYFUNCTION("""COMPUTED_VALUE"""),"วันปล่อยบีแอล")</f>
        <v>วันปล่อยบีแอล</v>
      </c>
    </row>
    <row r="3" spans="1:13" ht="18.75" hidden="1">
      <c r="A3" s="75"/>
      <c r="B3" s="75"/>
      <c r="C3" s="78"/>
      <c r="D3" s="83"/>
      <c r="E3" s="75"/>
      <c r="F3" s="75"/>
      <c r="G3" s="75" t="str">
        <f ca="1">IFERROR(__xludf.DUMMYFUNCTION("""COMPUTED_VALUE"""),"3 days before ETD")</f>
        <v>3 days before ETD</v>
      </c>
      <c r="H3" s="75"/>
      <c r="I3" s="83" t="str">
        <f ca="1">IFERROR(__xludf.DUMMYFUNCTION("""COMPUTED_VALUE"""),"2 days before ETD")</f>
        <v>2 days before ETD</v>
      </c>
      <c r="J3" s="83" t="str">
        <f ca="1">IFERROR(__xludf.DUMMYFUNCTION("""COMPUTED_VALUE"""),"1 days before ETD")</f>
        <v>1 days before ETD</v>
      </c>
      <c r="K3" s="75" t="str">
        <f ca="1">IFERROR(__xludf.DUMMYFUNCTION("""COMPUTED_VALUE"""),"SHOW ON B/L")</f>
        <v>SHOW ON B/L</v>
      </c>
      <c r="L3" s="85"/>
      <c r="M3" s="75"/>
    </row>
    <row r="4" spans="1:13" ht="18.75" hidden="1">
      <c r="A4" s="62"/>
      <c r="B4" s="63" t="str">
        <f ca="1">IFERROR(__xludf.DUMMYFUNCTION("""COMPUTED_VALUE"""),"WEEK 53-01/2025")</f>
        <v>WEEK 53-01/2025</v>
      </c>
      <c r="C4" s="67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4" s="62"/>
      <c r="E4" s="62"/>
      <c r="F4" s="69"/>
      <c r="G4" s="69"/>
      <c r="H4" s="62"/>
      <c r="I4" s="86"/>
      <c r="J4" s="86"/>
      <c r="K4" s="62"/>
      <c r="L4" s="71"/>
      <c r="M4" s="62"/>
    </row>
    <row r="5" spans="1:13" ht="18.75">
      <c r="A5" s="34"/>
      <c r="B5" s="63"/>
      <c r="C5" s="87" t="str">
        <f ca="1">IFERROR(__xludf.DUMMYFUNCTION("""COMPUTED_VALUE"""),"Holiday Wednesday 31-Dec New Year’s Eve")</f>
        <v>Holiday Wednesday 31-Dec New Year’s Eve</v>
      </c>
      <c r="D5" s="34"/>
      <c r="E5" s="34"/>
      <c r="F5" s="34"/>
      <c r="G5" s="34"/>
      <c r="H5" s="34"/>
      <c r="I5" s="62"/>
      <c r="J5" s="62"/>
      <c r="K5" s="62"/>
      <c r="L5" s="35"/>
      <c r="M5" s="34"/>
    </row>
    <row r="6" spans="1:13" ht="18.75">
      <c r="A6" s="88"/>
      <c r="B6" s="85"/>
      <c r="C6" s="88" t="str">
        <f ca="1">IFERROR(__xludf.DUMMYFUNCTION("""COMPUTED_VALUE"""),"Holiday Thursday 01-Jan New Year's Day")</f>
        <v>Holiday Thursday 01-Jan New Year's Day</v>
      </c>
      <c r="D6" s="88"/>
      <c r="E6" s="88"/>
      <c r="F6" s="90"/>
      <c r="G6" s="88"/>
      <c r="H6" s="88"/>
      <c r="I6" s="88"/>
      <c r="J6" s="88"/>
      <c r="K6" s="88"/>
      <c r="L6" s="88"/>
      <c r="M6" s="88"/>
    </row>
    <row r="7" spans="1:13" ht="18.75">
      <c r="A7" s="58"/>
      <c r="B7" s="58"/>
      <c r="C7" s="60" t="str">
        <f ca="1">IFERROR(__xludf.DUMMYFUNCTION("""COMPUTED_VALUE"""),"Holiday Friday 02-Jan New Year's Day")</f>
        <v>Holiday Friday 02-Jan New Year's Day</v>
      </c>
      <c r="D7" s="58"/>
      <c r="E7" s="58"/>
      <c r="F7" s="58"/>
      <c r="G7" s="58"/>
      <c r="H7" s="58"/>
      <c r="I7" s="58"/>
      <c r="J7" s="58"/>
      <c r="K7" s="58"/>
      <c r="L7" s="58"/>
      <c r="M7" s="58"/>
    </row>
    <row r="8" spans="1:13" ht="18.75">
      <c r="A8" s="62" t="str">
        <f ca="1">IFERROR(__xludf.DUMMYFUNCTION("""COMPUTED_VALUE"""),"SERVICE")</f>
        <v>SERVICE</v>
      </c>
      <c r="B8" s="63" t="str">
        <f ca="1">IFERROR(__xludf.DUMMYFUNCTION("""COMPUTED_VALUE"""),"VESSEL NAME")</f>
        <v>VESSEL NAME</v>
      </c>
      <c r="C8" s="67" t="str">
        <f ca="1">IFERROR(__xludf.DUMMYFUNCTION("""COMPUTED_VALUE"""),"PORT")</f>
        <v>PORT</v>
      </c>
      <c r="D8" s="62" t="str">
        <f ca="1">IFERROR(__xludf.DUMMYFUNCTION("""COMPUTED_VALUE"""),"PERFOMA ETD")</f>
        <v>PERFOMA ETD</v>
      </c>
      <c r="E8" s="62" t="str">
        <f ca="1">IFERROR(__xludf.DUMMYFUNCTION("""COMPUTED_VALUE"""),"EX.RATE/DATE/")</f>
        <v>EX.RATE/DATE/</v>
      </c>
      <c r="F8" s="69" t="str">
        <f ca="1">IFERROR(__xludf.DUMMYFUNCTION("""COMPUTED_VALUE"""),"SI CUT OFF USA,MX")</f>
        <v>SI CUT OFF USA,MX</v>
      </c>
      <c r="G8" s="69" t="str">
        <f ca="1">IFERROR(__xludf.DUMMYFUNCTION("""COMPUTED_VALUE"""),"SI CUT OFF")</f>
        <v>SI CUT OFF</v>
      </c>
      <c r="H8" s="62" t="str">
        <f ca="1">IFERROR(__xludf.DUMMYFUNCTION("""COMPUTED_VALUE"""),"B/L CFM USA,MX")</f>
        <v>B/L CFM USA,MX</v>
      </c>
      <c r="I8" s="62" t="str">
        <f ca="1">IFERROR(__xludf.DUMMYFUNCTION("""COMPUTED_VALUE"""),"B/L CFM CHINA,JP,VN")</f>
        <v>B/L CFM CHINA,JP,VN</v>
      </c>
      <c r="J8" s="62" t="str">
        <f ca="1">IFERROR(__xludf.DUMMYFUNCTION("""COMPUTED_VALUE"""),"B/L CONFIRM")</f>
        <v>B/L CONFIRM</v>
      </c>
      <c r="K8" s="62" t="str">
        <f ca="1">IFERROR(__xludf.DUMMYFUNCTION("""COMPUTED_VALUE"""),"ETD")</f>
        <v>ETD</v>
      </c>
      <c r="L8" s="71" t="str">
        <f ca="1">IFERROR(__xludf.DUMMYFUNCTION("""COMPUTED_VALUE"""),"ATD")</f>
        <v>ATD</v>
      </c>
      <c r="M8" s="62" t="str">
        <f ca="1">IFERROR(__xludf.DUMMYFUNCTION("""COMPUTED_VALUE"""),"B/L ISSUED DATE")</f>
        <v>B/L ISSUED DATE</v>
      </c>
    </row>
    <row r="9" spans="1:13" ht="18.75">
      <c r="A9" s="62"/>
      <c r="B9" s="63"/>
      <c r="C9" s="67"/>
      <c r="D9" s="62"/>
      <c r="E9" s="62" t="str">
        <f ca="1">IFERROR(__xludf.DUMMYFUNCTION("""COMPUTED_VALUE"""),"BANGKOK BANK")</f>
        <v>BANGKOK BANK</v>
      </c>
      <c r="F9" s="69" t="str">
        <f ca="1">IFERROR(__xludf.DUMMYFUNCTION("""COMPUTED_VALUE"""),"4 days before ETD")</f>
        <v>4 days before ETD</v>
      </c>
      <c r="G9" s="69"/>
      <c r="H9" s="62" t="str">
        <f ca="1">IFERROR(__xludf.DUMMYFUNCTION("""COMPUTED_VALUE"""),"3 days before ETD")</f>
        <v>3 days before ETD</v>
      </c>
      <c r="I9" s="62" t="str">
        <f ca="1">IFERROR(__xludf.DUMMYFUNCTION("""COMPUTED_VALUE"""),"Direct port CUT OFF")</f>
        <v>Direct port CUT OFF</v>
      </c>
      <c r="J9" s="62" t="str">
        <f ca="1">IFERROR(__xludf.DUMMYFUNCTION("""COMPUTED_VALUE"""),"Orther port CUT OFF")</f>
        <v>Orther port CUT OFF</v>
      </c>
      <c r="K9" s="62" t="str">
        <f ca="1">IFERROR(__xludf.DUMMYFUNCTION("""COMPUTED_VALUE"""),"ON BOARD DATE")</f>
        <v>ON BOARD DATE</v>
      </c>
      <c r="L9" s="71" t="str">
        <f ca="1">IFERROR(__xludf.DUMMYFUNCTION("""COMPUTED_VALUE"""),"วันเรือออกจริง")</f>
        <v>วันเรือออกจริง</v>
      </c>
      <c r="M9" s="62" t="str">
        <f ca="1">IFERROR(__xludf.DUMMYFUNCTION("""COMPUTED_VALUE"""),"วันปล่อยบีแอล")</f>
        <v>วันปล่อยบีแอล</v>
      </c>
    </row>
    <row r="10" spans="1:13" ht="18.75">
      <c r="A10" s="88"/>
      <c r="B10" s="88"/>
      <c r="C10" s="88"/>
      <c r="D10" s="88"/>
      <c r="E10" s="88"/>
      <c r="F10" s="88"/>
      <c r="G10" s="88" t="str">
        <f ca="1">IFERROR(__xludf.DUMMYFUNCTION("""COMPUTED_VALUE"""),"3 days before ETD")</f>
        <v>3 days before ETD</v>
      </c>
      <c r="H10" s="88"/>
      <c r="I10" s="88" t="str">
        <f ca="1">IFERROR(__xludf.DUMMYFUNCTION("""COMPUTED_VALUE"""),"2 days before ETD")</f>
        <v>2 days before ETD</v>
      </c>
      <c r="J10" s="88" t="str">
        <f ca="1">IFERROR(__xludf.DUMMYFUNCTION("""COMPUTED_VALUE"""),"1 days before ETD")</f>
        <v>1 days before ETD</v>
      </c>
      <c r="K10" s="94" t="str">
        <f ca="1">IFERROR(__xludf.DUMMYFUNCTION("""COMPUTED_VALUE"""),"SHOW ON B/L")</f>
        <v>SHOW ON B/L</v>
      </c>
      <c r="L10" s="88"/>
      <c r="M10" s="88"/>
    </row>
    <row r="11" spans="1:13" ht="18.75">
      <c r="A11" s="88" t="str">
        <f ca="1">IFERROR(__xludf.DUMMYFUNCTION("""COMPUTED_VALUE"""),"JTX")</f>
        <v>JTX</v>
      </c>
      <c r="B11" s="88" t="str">
        <f ca="1">IFERROR(__xludf.DUMMYFUNCTION("""COMPUTED_VALUE"""),"HAIAN EAST V.0QIMGN/1NC")</f>
        <v>HAIAN EAST V.0QIMGN/1NC</v>
      </c>
      <c r="C11" s="88" t="str">
        <f ca="1">IFERROR(__xludf.DUMMYFUNCTION("""COMPUTED_VALUE"""),"THLCB")</f>
        <v>THLCB</v>
      </c>
      <c r="D11" s="95" t="str">
        <f ca="1">IFERROR(__xludf.DUMMYFUNCTION("""COMPUTED_VALUE"""),"26/12/2025 22:00")</f>
        <v>26/12/2025 22:00</v>
      </c>
      <c r="E11" s="88" t="str">
        <f ca="1">IFERROR(__xludf.DUMMYFUNCTION("""COMPUTED_VALUE"""),"31.71 19/12/2025")</f>
        <v>31.71 19/12/2025</v>
      </c>
      <c r="F11" s="88" t="str">
        <f ca="1">IFERROR(__xludf.DUMMYFUNCTION("""COMPUTED_VALUE"""),"29/12/2025 15:00")</f>
        <v>29/12/2025 15:00</v>
      </c>
      <c r="G11" s="88" t="str">
        <f ca="1">IFERROR(__xludf.DUMMYFUNCTION("""COMPUTED_VALUE"""),"29/12/2025 15:00")</f>
        <v>29/12/2025 15:00</v>
      </c>
      <c r="H11" s="88" t="str">
        <f ca="1">IFERROR(__xludf.DUMMYFUNCTION("""COMPUTED_VALUE"""),"29/12/2025 15:00")</f>
        <v>29/12/2025 15:00</v>
      </c>
      <c r="I11" s="88" t="str">
        <f ca="1">IFERROR(__xludf.DUMMYFUNCTION("""COMPUTED_VALUE"""),"29/12/2025 15:00")</f>
        <v>29/12/2025 15:00</v>
      </c>
      <c r="J11" s="88" t="str">
        <f ca="1">IFERROR(__xludf.DUMMYFUNCTION("""COMPUTED_VALUE"""),"29/12/2025 16:00")</f>
        <v>29/12/2025 16:00</v>
      </c>
      <c r="K11" s="88" t="str">
        <f ca="1">IFERROR(__xludf.DUMMYFUNCTION("""COMPUTED_VALUE"""),"30/12/2025 06:00")</f>
        <v>30/12/2025 06:00</v>
      </c>
      <c r="L11" s="88" t="str">
        <f ca="1">IFERROR(__xludf.DUMMYFUNCTION("""COMPUTED_VALUE"""),"30/12/2025 10:00")</f>
        <v>30/12/2025 10:00</v>
      </c>
      <c r="M11" s="88" t="str">
        <f ca="1">IFERROR(__xludf.DUMMYFUNCTION("""COMPUTED_VALUE"""),"30/12/2025 NOON")</f>
        <v>30/12/2025 NOON</v>
      </c>
    </row>
    <row r="12" spans="1:13" ht="18.75">
      <c r="A12" s="88" t="str">
        <f ca="1">IFERROR(__xludf.DUMMYFUNCTION("""COMPUTED_VALUE"""),"SVT")</f>
        <v>SVT</v>
      </c>
      <c r="B12" s="88" t="str">
        <f ca="1">IFERROR(__xludf.DUMMYFUNCTION("""COMPUTED_VALUE"""),"TS KWANGYANG V.25016N")</f>
        <v>TS KWANGYANG V.25016N</v>
      </c>
      <c r="C12" s="88" t="str">
        <f ca="1">IFERROR(__xludf.DUMMYFUNCTION("""COMPUTED_VALUE"""),"THBKK")</f>
        <v>THBKK</v>
      </c>
      <c r="D12" s="97" t="str">
        <f ca="1">IFERROR(__xludf.DUMMYFUNCTION("""COMPUTED_VALUE"""),"25/12/2025 23:00")</f>
        <v>25/12/2025 23:00</v>
      </c>
      <c r="E12" s="88" t="str">
        <f ca="1">IFERROR(__xludf.DUMMYFUNCTION("""COMPUTED_VALUE"""),"31.71 19/12/2025")</f>
        <v>31.71 19/12/2025</v>
      </c>
      <c r="F12" s="90" t="str">
        <f ca="1">IFERROR(__xludf.DUMMYFUNCTION("""COMPUTED_VALUE"""),"25/12/2025 15:00")</f>
        <v>25/12/2025 15:00</v>
      </c>
      <c r="G12" s="90" t="str">
        <f ca="1">IFERROR(__xludf.DUMMYFUNCTION("""COMPUTED_VALUE"""),"25/12/2025 15:00")</f>
        <v>25/12/2025 15:00</v>
      </c>
      <c r="H12" s="90" t="str">
        <f ca="1">IFERROR(__xludf.DUMMYFUNCTION("""COMPUTED_VALUE"""),"25/12/2025 15:00")</f>
        <v>25/12/2025 15:00</v>
      </c>
      <c r="I12" s="90" t="str">
        <f ca="1">IFERROR(__xludf.DUMMYFUNCTION("""COMPUTED_VALUE"""),"26/12/2025 15:00")</f>
        <v>26/12/2025 15:00</v>
      </c>
      <c r="J12" s="90" t="str">
        <f ca="1">IFERROR(__xludf.DUMMYFUNCTION("""COMPUTED_VALUE"""),"26/12/2025 16:00")</f>
        <v>26/12/2025 16:00</v>
      </c>
      <c r="K12" s="94" t="str">
        <f ca="1">IFERROR(__xludf.DUMMYFUNCTION("""COMPUTED_VALUE"""),"29/12/2025 10:00")</f>
        <v>29/12/2025 10:00</v>
      </c>
      <c r="L12" s="90" t="str">
        <f ca="1">IFERROR(__xludf.DUMMYFUNCTION("""COMPUTED_VALUE"""),"29/12/2025 10:00")</f>
        <v>29/12/2025 10:00</v>
      </c>
      <c r="M12" s="88" t="str">
        <f ca="1">IFERROR(__xludf.DUMMYFUNCTION("""COMPUTED_VALUE"""),"29/12/2025 NOON")</f>
        <v>29/12/2025 NOON</v>
      </c>
    </row>
    <row r="13" spans="1:13" ht="18.75">
      <c r="A13" s="34"/>
      <c r="B13" s="63"/>
      <c r="C13" s="87" t="str">
        <f ca="1">IFERROR(__xludf.DUMMYFUNCTION("""COMPUTED_VALUE"""),"THLCB")</f>
        <v>THLCB</v>
      </c>
      <c r="D13" s="99" t="str">
        <f ca="1">IFERROR(__xludf.DUMMYFUNCTION("""COMPUTED_VALUE"""),"27/12/2025 00:01")</f>
        <v>27/12/2025 00:01</v>
      </c>
      <c r="E13" s="34"/>
      <c r="F13" s="34" t="str">
        <f ca="1">IFERROR(__xludf.DUMMYFUNCTION("""COMPUTED_VALUE"""),"29/12/2025 15:00")</f>
        <v>29/12/2025 15:00</v>
      </c>
      <c r="G13" s="34" t="str">
        <f ca="1">IFERROR(__xludf.DUMMYFUNCTION("""COMPUTED_VALUE"""),"29/12/2025 15:00")</f>
        <v>29/12/2025 15:00</v>
      </c>
      <c r="H13" s="34" t="str">
        <f ca="1">IFERROR(__xludf.DUMMYFUNCTION("""COMPUTED_VALUE"""),"29/12/2025 15:00")</f>
        <v>29/12/2025 15:00</v>
      </c>
      <c r="I13" s="62" t="str">
        <f ca="1">IFERROR(__xludf.DUMMYFUNCTION("""COMPUTED_VALUE"""),"29/12/2025 15:00")</f>
        <v>29/12/2025 15:00</v>
      </c>
      <c r="J13" s="62" t="str">
        <f ca="1">IFERROR(__xludf.DUMMYFUNCTION("""COMPUTED_VALUE"""),"29/12/2025 16:00")</f>
        <v>29/12/2025 16:00</v>
      </c>
      <c r="K13" s="62" t="str">
        <f ca="1">IFERROR(__xludf.DUMMYFUNCTION("""COMPUTED_VALUE"""),"30/12/2025 06:00")</f>
        <v>30/12/2025 06:00</v>
      </c>
      <c r="L13" s="35" t="str">
        <f ca="1">IFERROR(__xludf.DUMMYFUNCTION("""COMPUTED_VALUE"""),"30/12/2025 06:49")</f>
        <v>30/12/2025 06:49</v>
      </c>
      <c r="M13" s="34" t="str">
        <f ca="1">IFERROR(__xludf.DUMMYFUNCTION("""COMPUTED_VALUE"""),"30/12/2025 NOON")</f>
        <v>30/12/2025 NOON</v>
      </c>
    </row>
    <row r="14" spans="1:13" ht="18.75">
      <c r="A14" s="102"/>
      <c r="B14" s="102"/>
      <c r="C14" s="102"/>
      <c r="D14" s="104"/>
      <c r="E14" s="102"/>
      <c r="F14" s="106"/>
      <c r="G14" s="106"/>
      <c r="H14" s="106"/>
      <c r="I14" s="106"/>
      <c r="J14" s="106"/>
      <c r="K14" s="110"/>
      <c r="L14" s="106"/>
      <c r="M14" s="102"/>
    </row>
    <row r="15" spans="1:13" ht="18.75">
      <c r="A15" s="58"/>
      <c r="B15" s="58"/>
      <c r="C15" s="60"/>
      <c r="D15" s="58"/>
      <c r="E15" s="58"/>
      <c r="F15" s="58"/>
      <c r="G15" s="58"/>
      <c r="H15" s="58"/>
      <c r="I15" s="58"/>
      <c r="J15" s="58"/>
      <c r="K15" s="58"/>
      <c r="L15" s="58"/>
      <c r="M15" s="58"/>
    </row>
    <row r="16" spans="1:13" ht="18.75">
      <c r="A16" s="62"/>
      <c r="B16" s="63"/>
      <c r="C16" s="67"/>
      <c r="D16" s="62"/>
      <c r="E16" s="62"/>
      <c r="F16" s="69"/>
      <c r="G16" s="69"/>
      <c r="H16" s="62"/>
      <c r="I16" s="62"/>
      <c r="J16" s="62"/>
      <c r="K16" s="62"/>
      <c r="L16" s="71"/>
      <c r="M16" s="62"/>
    </row>
    <row r="17" spans="1:13" ht="18.75">
      <c r="A17" s="62"/>
      <c r="B17" s="63"/>
      <c r="C17" s="67"/>
      <c r="D17" s="62"/>
      <c r="E17" s="62"/>
      <c r="F17" s="69"/>
      <c r="G17" s="69"/>
      <c r="H17" s="62"/>
      <c r="I17" s="62"/>
      <c r="J17" s="62"/>
      <c r="K17" s="62"/>
      <c r="L17" s="71"/>
      <c r="M17" s="62"/>
    </row>
    <row r="18" spans="1:13" ht="18.75">
      <c r="A18" s="88"/>
      <c r="B18" s="88" t="str">
        <f ca="1">IFERROR(__xludf.DUMMYFUNCTION("""COMPUTED_VALUE"""),"WEEK 52/2025")</f>
        <v>WEEK 52/2025</v>
      </c>
      <c r="C18" s="88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18" s="97"/>
      <c r="E18" s="88"/>
      <c r="F18" s="90"/>
      <c r="G18" s="90"/>
      <c r="H18" s="90"/>
      <c r="I18" s="90"/>
      <c r="J18" s="90"/>
      <c r="K18" s="94"/>
      <c r="L18" s="90"/>
      <c r="M18" s="88"/>
    </row>
    <row r="19" spans="1:13" ht="18.75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94"/>
      <c r="L19" s="88"/>
      <c r="M19" s="88"/>
    </row>
    <row r="20" spans="1:13" ht="18.75">
      <c r="A20" s="88" t="str">
        <f ca="1">IFERROR(__xludf.DUMMYFUNCTION("""COMPUTED_VALUE"""),"SERVICE")</f>
        <v>SERVICE</v>
      </c>
      <c r="B20" s="88" t="str">
        <f ca="1">IFERROR(__xludf.DUMMYFUNCTION("""COMPUTED_VALUE"""),"VESSEL NAME")</f>
        <v>VESSEL NAME</v>
      </c>
      <c r="C20" s="88" t="str">
        <f ca="1">IFERROR(__xludf.DUMMYFUNCTION("""COMPUTED_VALUE"""),"PORT")</f>
        <v>PORT</v>
      </c>
      <c r="D20" s="88" t="str">
        <f ca="1">IFERROR(__xludf.DUMMYFUNCTION("""COMPUTED_VALUE"""),"PERFOMA ETD")</f>
        <v>PERFOMA ETD</v>
      </c>
      <c r="E20" s="88" t="str">
        <f ca="1">IFERROR(__xludf.DUMMYFUNCTION("""COMPUTED_VALUE"""),"EX.RATE/DATE/")</f>
        <v>EX.RATE/DATE/</v>
      </c>
      <c r="F20" s="88" t="str">
        <f ca="1">IFERROR(__xludf.DUMMYFUNCTION("""COMPUTED_VALUE"""),"SI CUT OFF USA,MX")</f>
        <v>SI CUT OFF USA,MX</v>
      </c>
      <c r="G20" s="88" t="str">
        <f ca="1">IFERROR(__xludf.DUMMYFUNCTION("""COMPUTED_VALUE"""),"SI CUT OFF")</f>
        <v>SI CUT OFF</v>
      </c>
      <c r="H20" s="88" t="str">
        <f ca="1">IFERROR(__xludf.DUMMYFUNCTION("""COMPUTED_VALUE"""),"B/L CFM USA,MX")</f>
        <v>B/L CFM USA,MX</v>
      </c>
      <c r="I20" s="88" t="str">
        <f ca="1">IFERROR(__xludf.DUMMYFUNCTION("""COMPUTED_VALUE"""),"B/L CFM CHINA,JP,VN")</f>
        <v>B/L CFM CHINA,JP,VN</v>
      </c>
      <c r="J20" s="88" t="str">
        <f ca="1">IFERROR(__xludf.DUMMYFUNCTION("""COMPUTED_VALUE"""),"B/L CONFIRM")</f>
        <v>B/L CONFIRM</v>
      </c>
      <c r="K20" s="94" t="str">
        <f ca="1">IFERROR(__xludf.DUMMYFUNCTION("""COMPUTED_VALUE"""),"ETD")</f>
        <v>ETD</v>
      </c>
      <c r="L20" s="88" t="str">
        <f ca="1">IFERROR(__xludf.DUMMYFUNCTION("""COMPUTED_VALUE"""),"ATD")</f>
        <v>ATD</v>
      </c>
      <c r="M20" s="88" t="str">
        <f ca="1">IFERROR(__xludf.DUMMYFUNCTION("""COMPUTED_VALUE"""),"B/L ISSUED DATE")</f>
        <v>B/L ISSUED DATE</v>
      </c>
    </row>
    <row r="21" spans="1:13" ht="18.75">
      <c r="A21" s="88"/>
      <c r="B21" s="88"/>
      <c r="C21" s="88"/>
      <c r="D21" s="88"/>
      <c r="E21" s="88" t="str">
        <f ca="1">IFERROR(__xludf.DUMMYFUNCTION("""COMPUTED_VALUE"""),"BANGKOK BANK")</f>
        <v>BANGKOK BANK</v>
      </c>
      <c r="F21" s="88" t="str">
        <f ca="1">IFERROR(__xludf.DUMMYFUNCTION("""COMPUTED_VALUE"""),"4 days before ETD")</f>
        <v>4 days before ETD</v>
      </c>
      <c r="G21" s="88"/>
      <c r="H21" s="88" t="str">
        <f ca="1">IFERROR(__xludf.DUMMYFUNCTION("""COMPUTED_VALUE"""),"3 days before ETD")</f>
        <v>3 days before ETD</v>
      </c>
      <c r="I21" s="88" t="str">
        <f ca="1">IFERROR(__xludf.DUMMYFUNCTION("""COMPUTED_VALUE"""),"Direct port CUT OFF")</f>
        <v>Direct port CUT OFF</v>
      </c>
      <c r="J21" s="88" t="str">
        <f ca="1">IFERROR(__xludf.DUMMYFUNCTION("""COMPUTED_VALUE"""),"Orther port CUT OFF")</f>
        <v>Orther port CUT OFF</v>
      </c>
      <c r="K21" s="88" t="str">
        <f ca="1">IFERROR(__xludf.DUMMYFUNCTION("""COMPUTED_VALUE"""),"ON BOARD DATE")</f>
        <v>ON BOARD DATE</v>
      </c>
      <c r="L21" s="88" t="str">
        <f ca="1">IFERROR(__xludf.DUMMYFUNCTION("""COMPUTED_VALUE"""),"วันเรือออกจริง")</f>
        <v>วันเรือออกจริง</v>
      </c>
      <c r="M21" s="88" t="str">
        <f ca="1">IFERROR(__xludf.DUMMYFUNCTION("""COMPUTED_VALUE"""),"วันปล่อยบีแอล")</f>
        <v>วันปล่อยบีแอล</v>
      </c>
    </row>
    <row r="22" spans="1:13" ht="18.75">
      <c r="A22" s="88"/>
      <c r="B22" s="88"/>
      <c r="C22" s="88"/>
      <c r="D22" s="88"/>
      <c r="E22" s="88"/>
      <c r="F22" s="88"/>
      <c r="G22" s="88" t="str">
        <f ca="1">IFERROR(__xludf.DUMMYFUNCTION("""COMPUTED_VALUE"""),"3 days before ETD")</f>
        <v>3 days before ETD</v>
      </c>
      <c r="H22" s="88"/>
      <c r="I22" s="88" t="str">
        <f ca="1">IFERROR(__xludf.DUMMYFUNCTION("""COMPUTED_VALUE"""),"2 days before ETD")</f>
        <v>2 days before ETD</v>
      </c>
      <c r="J22" s="88" t="str">
        <f ca="1">IFERROR(__xludf.DUMMYFUNCTION("""COMPUTED_VALUE"""),"1 days before ETD")</f>
        <v>1 days before ETD</v>
      </c>
      <c r="K22" s="94" t="str">
        <f ca="1">IFERROR(__xludf.DUMMYFUNCTION("""COMPUTED_VALUE"""),"SHOW ON B/L")</f>
        <v>SHOW ON B/L</v>
      </c>
      <c r="L22" s="88"/>
      <c r="M22" s="88"/>
    </row>
    <row r="23" spans="1:13" ht="18.75">
      <c r="A23" s="88" t="str">
        <f ca="1">IFERROR(__xludf.DUMMYFUNCTION("""COMPUTED_VALUE"""),"TRX")</f>
        <v>TRX</v>
      </c>
      <c r="B23" s="88" t="str">
        <f ca="1">IFERROR(__xludf.DUMMYFUNCTION("""COMPUTED_VALUE"""),"TS JAKARTA V.25039N")</f>
        <v>TS JAKARTA V.25039N</v>
      </c>
      <c r="C23" s="88" t="str">
        <f ca="1">IFERROR(__xludf.DUMMYFUNCTION("""COMPUTED_VALUE"""),"THBKK")</f>
        <v>THBKK</v>
      </c>
      <c r="D23" s="88" t="str">
        <f ca="1">IFERROR(__xludf.DUMMYFUNCTION("""COMPUTED_VALUE"""),"20/12/2025 21:00")</f>
        <v>20/12/2025 21:00</v>
      </c>
      <c r="E23" s="88" t="str">
        <f ca="1">IFERROR(__xludf.DUMMYFUNCTION("""COMPUTED_VALUE"""),"31.72 18/12/2025")</f>
        <v>31.72 18/12/2025</v>
      </c>
      <c r="F23" s="88" t="str">
        <f ca="1">IFERROR(__xludf.DUMMYFUNCTION("""COMPUTED_VALUE"""),"24/12/2025 15:00")</f>
        <v>24/12/2025 15:00</v>
      </c>
      <c r="G23" s="88" t="str">
        <f ca="1">IFERROR(__xludf.DUMMYFUNCTION("""COMPUTED_VALUE"""),"25/12/2025 15:00")</f>
        <v>25/12/2025 15:00</v>
      </c>
      <c r="H23" s="88" t="str">
        <f ca="1">IFERROR(__xludf.DUMMYFUNCTION("""COMPUTED_VALUE"""),"25/12/2025 15:00")</f>
        <v>25/12/2025 15:00</v>
      </c>
      <c r="I23" s="88" t="str">
        <f ca="1">IFERROR(__xludf.DUMMYFUNCTION("""COMPUTED_VALUE"""),"26/12/2025 15:00")</f>
        <v>26/12/2025 15:00</v>
      </c>
      <c r="J23" s="88" t="str">
        <f ca="1">IFERROR(__xludf.DUMMYFUNCTION("""COMPUTED_VALUE"""),"26/12/2025 16:00")</f>
        <v>26/12/2025 16:00</v>
      </c>
      <c r="K23" s="88" t="str">
        <f ca="1">IFERROR(__xludf.DUMMYFUNCTION("""COMPUTED_VALUE"""),"28/12/2025 06:00")</f>
        <v>28/12/2025 06:00</v>
      </c>
      <c r="L23" s="88" t="str">
        <f ca="1">IFERROR(__xludf.DUMMYFUNCTION("""COMPUTED_VALUE"""),"28/12/2025 08:00")</f>
        <v>28/12/2025 08:00</v>
      </c>
      <c r="M23" s="88" t="str">
        <f ca="1">IFERROR(__xludf.DUMMYFUNCTION("""COMPUTED_VALUE"""),"29/12/2025 MORNING")</f>
        <v>29/12/2025 MORNING</v>
      </c>
    </row>
    <row r="24" spans="1:13" ht="18.75">
      <c r="A24" s="88"/>
      <c r="B24" s="88"/>
      <c r="C24" s="88" t="str">
        <f ca="1">IFERROR(__xludf.DUMMYFUNCTION("""COMPUTED_VALUE"""),"THLCB")</f>
        <v>THLCB</v>
      </c>
      <c r="D24" s="88" t="str">
        <f ca="1">IFERROR(__xludf.DUMMYFUNCTION("""COMPUTED_VALUE"""),"22/12/2025 09:00")</f>
        <v>22/12/2025 09:00</v>
      </c>
      <c r="E24" s="88"/>
      <c r="F24" s="88" t="str">
        <f ca="1">IFERROR(__xludf.DUMMYFUNCTION("""COMPUTED_VALUE"""),"24/12/2025 15:00")</f>
        <v>24/12/2025 15:00</v>
      </c>
      <c r="G24" s="88" t="str">
        <f ca="1">IFERROR(__xludf.DUMMYFUNCTION("""COMPUTED_VALUE"""),"25/12/2025 15:00")</f>
        <v>25/12/2025 15:00</v>
      </c>
      <c r="H24" s="88" t="str">
        <f ca="1">IFERROR(__xludf.DUMMYFUNCTION("""COMPUTED_VALUE"""),"25/12/2025 15:00")</f>
        <v>25/12/2025 15:00</v>
      </c>
      <c r="I24" s="88" t="str">
        <f ca="1">IFERROR(__xludf.DUMMYFUNCTION("""COMPUTED_VALUE"""),"26/12/2025 15:00")</f>
        <v>26/12/2025 15:00</v>
      </c>
      <c r="J24" s="88" t="str">
        <f ca="1">IFERROR(__xludf.DUMMYFUNCTION("""COMPUTED_VALUE"""),"26/12/2025 16:00")</f>
        <v>26/12/2025 16:00</v>
      </c>
      <c r="K24" s="94" t="str">
        <f ca="1">IFERROR(__xludf.DUMMYFUNCTION("""COMPUTED_VALUE"""),"28/12/2025 23:00")</f>
        <v>28/12/2025 23:00</v>
      </c>
      <c r="L24" s="88" t="str">
        <f ca="1">IFERROR(__xludf.DUMMYFUNCTION("""COMPUTED_VALUE"""),"28/12/2025 23:59")</f>
        <v>28/12/2025 23:59</v>
      </c>
      <c r="M24" s="88" t="str">
        <f ca="1">IFERROR(__xludf.DUMMYFUNCTION("""COMPUTED_VALUE"""),"29/12/2025 MORNING")</f>
        <v>29/12/2025 MORNING</v>
      </c>
    </row>
    <row r="25" spans="1:13" ht="18.75">
      <c r="A25" s="88" t="str">
        <f ca="1">IFERROR(__xludf.DUMMYFUNCTION("""COMPUTED_VALUE"""),"CHT")</f>
        <v>CHT</v>
      </c>
      <c r="B25" s="88" t="str">
        <f ca="1">IFERROR(__xludf.DUMMYFUNCTION("""COMPUTED_VALUE"""),"TS TIANJIN V.25013N")</f>
        <v>TS TIANJIN V.25013N</v>
      </c>
      <c r="C25" s="88" t="str">
        <f ca="1">IFERROR(__xludf.DUMMYFUNCTION("""COMPUTED_VALUE"""),"THBKK")</f>
        <v>THBKK</v>
      </c>
      <c r="D25" s="95">
        <f ca="1">IFERROR(__xludf.DUMMYFUNCTION("""COMPUTED_VALUE"""),45942.3333333333)</f>
        <v>45942.333333333299</v>
      </c>
      <c r="E25" s="88" t="str">
        <f ca="1">IFERROR(__xludf.DUMMYFUNCTION("""COMPUTED_VALUE"""),"31.71 15/12/2025")</f>
        <v>31.71 15/12/2025</v>
      </c>
      <c r="F25" s="88" t="str">
        <f ca="1">IFERROR(__xludf.DUMMYFUNCTION("""COMPUTED_VALUE"""),"21/12/2025 15:00")</f>
        <v>21/12/2025 15:00</v>
      </c>
      <c r="G25" s="88" t="str">
        <f ca="1">IFERROR(__xludf.DUMMYFUNCTION("""COMPUTED_VALUE"""),"22/12/2025 15:00")</f>
        <v>22/12/2025 15:00</v>
      </c>
      <c r="H25" s="88" t="str">
        <f ca="1">IFERROR(__xludf.DUMMYFUNCTION("""COMPUTED_VALUE"""),"22/12/2025 15:00")</f>
        <v>22/12/2025 15:00</v>
      </c>
      <c r="I25" s="88" t="str">
        <f ca="1">IFERROR(__xludf.DUMMYFUNCTION("""COMPUTED_VALUE"""),"23/12/2025 15:00")</f>
        <v>23/12/2025 15:00</v>
      </c>
      <c r="J25" s="88" t="str">
        <f ca="1">IFERROR(__xludf.DUMMYFUNCTION("""COMPUTED_VALUE"""),"23/12/2025 16:00")</f>
        <v>23/12/2025 16:00</v>
      </c>
      <c r="K25" s="88" t="str">
        <f ca="1">IFERROR(__xludf.DUMMYFUNCTION("""COMPUTED_VALUE"""),"24/12/2025 05:00")</f>
        <v>24/12/2025 05:00</v>
      </c>
      <c r="L25" s="88" t="str">
        <f ca="1">IFERROR(__xludf.DUMMYFUNCTION("""COMPUTED_VALUE"""),"24/12/2025 05:00")</f>
        <v>24/12/2025 05:00</v>
      </c>
      <c r="M25" s="88" t="str">
        <f ca="1">IFERROR(__xludf.DUMMYFUNCTION("""COMPUTED_VALUE"""),"24/12/2025 NOON")</f>
        <v>24/12/2025 NOON</v>
      </c>
    </row>
    <row r="26" spans="1:13" ht="18.75">
      <c r="A26" s="88"/>
      <c r="B26" s="88"/>
      <c r="C26" s="88" t="str">
        <f ca="1">IFERROR(__xludf.DUMMYFUNCTION("""COMPUTED_VALUE"""),"THLCB")</f>
        <v>THLCB</v>
      </c>
      <c r="D26" s="97">
        <f ca="1">IFERROR(__xludf.DUMMYFUNCTION("""COMPUTED_VALUE"""),45973.1666666666)</f>
        <v>45973.166666666599</v>
      </c>
      <c r="E26" s="88"/>
      <c r="F26" s="90" t="str">
        <f ca="1">IFERROR(__xludf.DUMMYFUNCTION("""COMPUTED_VALUE"""),"21/12/2025 15:00")</f>
        <v>21/12/2025 15:00</v>
      </c>
      <c r="G26" s="90" t="str">
        <f ca="1">IFERROR(__xludf.DUMMYFUNCTION("""COMPUTED_VALUE"""),"22/12/2025 15:00")</f>
        <v>22/12/2025 15:00</v>
      </c>
      <c r="H26" s="90" t="str">
        <f ca="1">IFERROR(__xludf.DUMMYFUNCTION("""COMPUTED_VALUE"""),"22/12/2025 15:00")</f>
        <v>22/12/2025 15:00</v>
      </c>
      <c r="I26" s="90" t="str">
        <f ca="1">IFERROR(__xludf.DUMMYFUNCTION("""COMPUTED_VALUE"""),"23/12/2025 15:00")</f>
        <v>23/12/2025 15:00</v>
      </c>
      <c r="J26" s="90" t="str">
        <f ca="1">IFERROR(__xludf.DUMMYFUNCTION("""COMPUTED_VALUE"""),"24/12/2025 16:00")</f>
        <v>24/12/2025 16:00</v>
      </c>
      <c r="K26" s="94" t="str">
        <f ca="1">IFERROR(__xludf.DUMMYFUNCTION("""COMPUTED_VALUE"""),"25/12/2025 17:00")</f>
        <v>25/12/2025 17:00</v>
      </c>
      <c r="L26" s="90" t="str">
        <f ca="1">IFERROR(__xludf.DUMMYFUNCTION("""COMPUTED_VALUE"""),"26/12/2025 00:17")</f>
        <v>26/12/2025 00:17</v>
      </c>
      <c r="M26" s="88" t="str">
        <f ca="1">IFERROR(__xludf.DUMMYFUNCTION("""COMPUTED_VALUE"""),"26/12/2025 MORNING")</f>
        <v>26/12/2025 MORNING</v>
      </c>
    </row>
    <row r="27" spans="1:13" ht="18.75">
      <c r="A27" s="88" t="str">
        <f ca="1">IFERROR(__xludf.DUMMYFUNCTION("""COMPUTED_VALUE"""),"CHT")</f>
        <v>CHT</v>
      </c>
      <c r="B27" s="88" t="str">
        <f ca="1">IFERROR(__xludf.DUMMYFUNCTION("""COMPUTED_VALUE"""),"KMTC TAIPEIS V.2514N")</f>
        <v>KMTC TAIPEIS V.2514N</v>
      </c>
      <c r="C27" s="88" t="str">
        <f ca="1">IFERROR(__xludf.DUMMYFUNCTION("""COMPUTED_VALUE"""),"THBKK")</f>
        <v>THBKK</v>
      </c>
      <c r="D27" s="88" t="str">
        <f ca="1">IFERROR(__xludf.DUMMYFUNCTION("""COMPUTED_VALUE"""),"17/12/2025 08:00")</f>
        <v>17/12/2025 08:00</v>
      </c>
      <c r="E27" s="88" t="str">
        <f ca="1">IFERROR(__xludf.DUMMYFUNCTION("""COMPUTED_VALUE"""),"31.77 16/12/2025")</f>
        <v>31.77 16/12/2025</v>
      </c>
      <c r="F27" s="88" t="str">
        <f ca="1">IFERROR(__xludf.DUMMYFUNCTION("""COMPUTED_VALUE"""),"21/12/2025 15:00")</f>
        <v>21/12/2025 15:00</v>
      </c>
      <c r="G27" s="88" t="str">
        <f ca="1">IFERROR(__xludf.DUMMYFUNCTION("""COMPUTED_VALUE"""),"22/12/2025 15:00")</f>
        <v>22/12/2025 15:00</v>
      </c>
      <c r="H27" s="88" t="str">
        <f ca="1">IFERROR(__xludf.DUMMYFUNCTION("""COMPUTED_VALUE"""),"22/12/2025 15:00")</f>
        <v>22/12/2025 15:00</v>
      </c>
      <c r="I27" s="88" t="str">
        <f ca="1">IFERROR(__xludf.DUMMYFUNCTION("""COMPUTED_VALUE"""),"23/12/2025 15:00")</f>
        <v>23/12/2025 15:00</v>
      </c>
      <c r="J27" s="88" t="str">
        <f ca="1">IFERROR(__xludf.DUMMYFUNCTION("""COMPUTED_VALUE"""),"24/12/2025 16:00")</f>
        <v>24/12/2025 16:00</v>
      </c>
      <c r="K27" s="88" t="str">
        <f ca="1">IFERROR(__xludf.DUMMYFUNCTION("""COMPUTED_VALUE"""),"25/12/2025 08:00")</f>
        <v>25/12/2025 08:00</v>
      </c>
      <c r="L27" s="88" t="str">
        <f ca="1">IFERROR(__xludf.DUMMYFUNCTION("""COMPUTED_VALUE"""),"25/12/2025 08:00")</f>
        <v>25/12/2025 08:00</v>
      </c>
      <c r="M27" s="88" t="str">
        <f ca="1">IFERROR(__xludf.DUMMYFUNCTION("""COMPUTED_VALUE"""),"25/12/2025 NOON")</f>
        <v>25/12/2025 NOON</v>
      </c>
    </row>
    <row r="28" spans="1:13" ht="18.75">
      <c r="A28" s="88"/>
      <c r="B28" s="88"/>
      <c r="C28" s="88" t="str">
        <f ca="1">IFERROR(__xludf.DUMMYFUNCTION("""COMPUTED_VALUE"""),"THLCB")</f>
        <v>THLCB</v>
      </c>
      <c r="D28" s="97" t="str">
        <f ca="1">IFERROR(__xludf.DUMMYFUNCTION("""COMPUTED_VALUE"""),"18/12/2025 04:00")</f>
        <v>18/12/2025 04:00</v>
      </c>
      <c r="E28" s="88"/>
      <c r="F28" s="90" t="str">
        <f ca="1">IFERROR(__xludf.DUMMYFUNCTION("""COMPUTED_VALUE"""),"22/12/2025 15:00")</f>
        <v>22/12/2025 15:00</v>
      </c>
      <c r="G28" s="90" t="str">
        <f ca="1">IFERROR(__xludf.DUMMYFUNCTION("""COMPUTED_VALUE"""),"23/12/2025 15:00")</f>
        <v>23/12/2025 15:00</v>
      </c>
      <c r="H28" s="90" t="str">
        <f ca="1">IFERROR(__xludf.DUMMYFUNCTION("""COMPUTED_VALUE"""),"23/12/2025 15:00")</f>
        <v>23/12/2025 15:00</v>
      </c>
      <c r="I28" s="90" t="str">
        <f ca="1">IFERROR(__xludf.DUMMYFUNCTION("""COMPUTED_VALUE"""),"24/12/2025 15:00")</f>
        <v>24/12/2025 15:00</v>
      </c>
      <c r="J28" s="90" t="str">
        <f ca="1">IFERROR(__xludf.DUMMYFUNCTION("""COMPUTED_VALUE"""),"25/12/2025 16:00")</f>
        <v>25/12/2025 16:00</v>
      </c>
      <c r="K28" s="94" t="str">
        <f ca="1">IFERROR(__xludf.DUMMYFUNCTION("""COMPUTED_VALUE"""),"26/12/2025 15:00")</f>
        <v>26/12/2025 15:00</v>
      </c>
      <c r="L28" s="90" t="str">
        <f ca="1">IFERROR(__xludf.DUMMYFUNCTION("""COMPUTED_VALUE"""),"26/12/2025 20:00")</f>
        <v>26/12/2025 20:00</v>
      </c>
      <c r="M28" s="88" t="str">
        <f ca="1">IFERROR(__xludf.DUMMYFUNCTION("""COMPUTED_VALUE"""),"29/12/2025 MORNING")</f>
        <v>29/12/2025 MORNING</v>
      </c>
    </row>
    <row r="29" spans="1:13" ht="18.75">
      <c r="A29" s="88" t="str">
        <f ca="1">IFERROR(__xludf.DUMMYFUNCTION("""COMPUTED_VALUE"""),"CVT")</f>
        <v>CVT</v>
      </c>
      <c r="B29" s="63" t="str">
        <f ca="1">IFERROR(__xludf.DUMMYFUNCTION("""COMPUTED_VALUE"""),"KMTC POHANG V.2515N")</f>
        <v>KMTC POHANG V.2515N</v>
      </c>
      <c r="C29" s="88" t="str">
        <f ca="1">IFERROR(__xludf.DUMMYFUNCTION("""COMPUTED_VALUE"""),"THBKK")</f>
        <v>THBKK</v>
      </c>
      <c r="D29" s="88" t="str">
        <f ca="1">IFERROR(__xludf.DUMMYFUNCTION("""COMPUTED_VALUE"""),"18/12/2025 08:00")</f>
        <v>18/12/2025 08:00</v>
      </c>
      <c r="E29" s="88" t="str">
        <f ca="1">IFERROR(__xludf.DUMMYFUNCTION("""COMPUTED_VALUE"""),"31.90 12/12/2025")</f>
        <v>31.90 12/12/2025</v>
      </c>
      <c r="F29" s="88" t="str">
        <f ca="1">IFERROR(__xludf.DUMMYFUNCTION("""COMPUTED_VALUE"""),"17/12/2025 15:00")</f>
        <v>17/12/2025 15:00</v>
      </c>
      <c r="G29" s="88" t="str">
        <f ca="1">IFERROR(__xludf.DUMMYFUNCTION("""COMPUTED_VALUE"""),"18/12/2025 15:00")</f>
        <v>18/12/2025 15:00</v>
      </c>
      <c r="H29" s="88" t="str">
        <f ca="1">IFERROR(__xludf.DUMMYFUNCTION("""COMPUTED_VALUE"""),"18/12/2025 15:00")</f>
        <v>18/12/2025 15:00</v>
      </c>
      <c r="I29" s="88" t="str">
        <f ca="1">IFERROR(__xludf.DUMMYFUNCTION("""COMPUTED_VALUE"""),"19/12/2025 15:00")</f>
        <v>19/12/2025 15:00</v>
      </c>
      <c r="J29" s="88" t="str">
        <f ca="1">IFERROR(__xludf.DUMMYFUNCTION("""COMPUTED_VALUE"""),"19/12/2025 16:00")</f>
        <v>19/12/2025 16:00</v>
      </c>
      <c r="K29" s="88" t="str">
        <f ca="1">IFERROR(__xludf.DUMMYFUNCTION("""COMPUTED_VALUE"""),"22/12/2025 03:00")</f>
        <v>22/12/2025 03:00</v>
      </c>
      <c r="L29" s="88" t="str">
        <f ca="1">IFERROR(__xludf.DUMMYFUNCTION("""COMPUTED_VALUE"""),"22/12/2025 06:00")</f>
        <v>22/12/2025 06:00</v>
      </c>
      <c r="M29" s="88" t="str">
        <f ca="1">IFERROR(__xludf.DUMMYFUNCTION("""COMPUTED_VALUE"""),"22/12/2025 NOON")</f>
        <v>22/12/2025 NOON</v>
      </c>
    </row>
    <row r="30" spans="1:13" ht="18.75">
      <c r="A30" s="88"/>
      <c r="B30" s="88"/>
      <c r="C30" s="88" t="str">
        <f ca="1">IFERROR(__xludf.DUMMYFUNCTION("""COMPUTED_VALUE"""),"THLCB")</f>
        <v>THLCB</v>
      </c>
      <c r="D30" s="97" t="str">
        <f ca="1">IFERROR(__xludf.DUMMYFUNCTION("""COMPUTED_VALUE"""),"18/12/2025 04:00")</f>
        <v>18/12/2025 04:00</v>
      </c>
      <c r="E30" s="88"/>
      <c r="F30" s="90" t="str">
        <f ca="1">IFERROR(__xludf.DUMMYFUNCTION("""COMPUTED_VALUE"""),"19/12/2025 15:00")</f>
        <v>19/12/2025 15:00</v>
      </c>
      <c r="G30" s="90" t="str">
        <f ca="1">IFERROR(__xludf.DUMMYFUNCTION("""COMPUTED_VALUE"""),"19/12/2025 15:00")</f>
        <v>19/12/2025 15:00</v>
      </c>
      <c r="H30" s="90" t="str">
        <f ca="1">IFERROR(__xludf.DUMMYFUNCTION("""COMPUTED_VALUE"""),"19/12/2025 15:00")</f>
        <v>19/12/2025 15:00</v>
      </c>
      <c r="I30" s="90" t="str">
        <f ca="1">IFERROR(__xludf.DUMMYFUNCTION("""COMPUTED_VALUE"""),"22/12/2025 15:00")</f>
        <v>22/12/2025 15:00</v>
      </c>
      <c r="J30" s="90" t="str">
        <f ca="1">IFERROR(__xludf.DUMMYFUNCTION("""COMPUTED_VALUE"""),"22/12/2025 16:00")</f>
        <v>22/12/2025 16:00</v>
      </c>
      <c r="K30" s="94" t="str">
        <f ca="1">IFERROR(__xludf.DUMMYFUNCTION("""COMPUTED_VALUE"""),"23/12/2025 19:00")</f>
        <v>23/12/2025 19:00</v>
      </c>
      <c r="L30" s="90" t="str">
        <f ca="1">IFERROR(__xludf.DUMMYFUNCTION("""COMPUTED_VALUE"""),"23/12/2025 23:00")</f>
        <v>23/12/2025 23:00</v>
      </c>
      <c r="M30" s="88" t="str">
        <f ca="1">IFERROR(__xludf.DUMMYFUNCTION("""COMPUTED_VALUE"""),"24/12/2025 MORNING")</f>
        <v>24/12/2025 MORNING</v>
      </c>
    </row>
    <row r="31" spans="1:13" ht="18.75" hidden="1">
      <c r="A31" s="58" t="str">
        <f ca="1">IFERROR(__xludf.DUMMYFUNCTION("""COMPUTED_VALUE"""),"CVT")</f>
        <v>CVT</v>
      </c>
      <c r="B31" s="58" t="str">
        <f ca="1">IFERROR(__xludf.DUMMYFUNCTION("""COMPUTED_VALUE"""),"TS OSAKA V.25022N")</f>
        <v>TS OSAKA V.25022N</v>
      </c>
      <c r="C31" s="60" t="str">
        <f ca="1">IFERROR(__xludf.DUMMYFUNCTION("""COMPUTED_VALUE"""),"THBKK")</f>
        <v>THBKK</v>
      </c>
      <c r="D31" s="58" t="str">
        <f ca="1">IFERROR(__xludf.DUMMYFUNCTION("""COMPUTED_VALUE"""),"25/12/2025 08:00")</f>
        <v>25/12/2025 08:00</v>
      </c>
      <c r="E31" s="58" t="str">
        <f ca="1">IFERROR(__xludf.DUMMYFUNCTION("""COMPUTED_VALUE"""),"31.71 19/12/2025")</f>
        <v>31.71 19/12/2025</v>
      </c>
      <c r="F31" s="58" t="str">
        <f ca="1">IFERROR(__xludf.DUMMYFUNCTION("""COMPUTED_VALUE"""),"24/12/2025 15:00")</f>
        <v>24/12/2025 15:00</v>
      </c>
      <c r="G31" s="58" t="str">
        <f ca="1">IFERROR(__xludf.DUMMYFUNCTION("""COMPUTED_VALUE"""),"25/12/2025 15:00")</f>
        <v>25/12/2025 15:00</v>
      </c>
      <c r="H31" s="58" t="str">
        <f ca="1">IFERROR(__xludf.DUMMYFUNCTION("""COMPUTED_VALUE"""),"25/12/2025 15:00")</f>
        <v>25/12/2025 15:00</v>
      </c>
      <c r="I31" s="58" t="str">
        <f ca="1">IFERROR(__xludf.DUMMYFUNCTION("""COMPUTED_VALUE"""),"26/12/2025 15:00")</f>
        <v>26/12/2025 15:00</v>
      </c>
      <c r="J31" s="58" t="str">
        <f ca="1">IFERROR(__xludf.DUMMYFUNCTION("""COMPUTED_VALUE"""),"26/12/2025 16:00")</f>
        <v>26/12/2025 16:00</v>
      </c>
      <c r="K31" s="58" t="str">
        <f ca="1">IFERROR(__xludf.DUMMYFUNCTION("""COMPUTED_VALUE"""),"28/12/2025 06:00")</f>
        <v>28/12/2025 06:00</v>
      </c>
      <c r="L31" s="58" t="str">
        <f ca="1">IFERROR(__xludf.DUMMYFUNCTION("""COMPUTED_VALUE"""),"28/12/2025 08:00")</f>
        <v>28/12/2025 08:00</v>
      </c>
      <c r="M31" s="58" t="str">
        <f ca="1">IFERROR(__xludf.DUMMYFUNCTION("""COMPUTED_VALUE"""),"29/12/2025 MORNING")</f>
        <v>29/12/2025 MORNING</v>
      </c>
    </row>
    <row r="32" spans="1:13" ht="18.75" hidden="1">
      <c r="A32" s="62"/>
      <c r="B32" s="63"/>
      <c r="C32" s="67" t="str">
        <f ca="1">IFERROR(__xludf.DUMMYFUNCTION("""COMPUTED_VALUE"""),"THLCB")</f>
        <v>THLCB</v>
      </c>
      <c r="D32" s="62" t="str">
        <f ca="1">IFERROR(__xludf.DUMMYFUNCTION("""COMPUTED_VALUE"""),"26/12/2025 04:00")</f>
        <v>26/12/2025 04:00</v>
      </c>
      <c r="E32" s="62"/>
      <c r="F32" s="69" t="str">
        <f ca="1">IFERROR(__xludf.DUMMYFUNCTION("""COMPUTED_VALUE"""),"24/12/2025 15:00")</f>
        <v>24/12/2025 15:00</v>
      </c>
      <c r="G32" s="69" t="str">
        <f ca="1">IFERROR(__xludf.DUMMYFUNCTION("""COMPUTED_VALUE"""),"25/12/2025 15:00")</f>
        <v>25/12/2025 15:00</v>
      </c>
      <c r="H32" s="62" t="str">
        <f ca="1">IFERROR(__xludf.DUMMYFUNCTION("""COMPUTED_VALUE"""),"25/12/2025 15:00")</f>
        <v>25/12/2025 15:00</v>
      </c>
      <c r="I32" s="62" t="str">
        <f ca="1">IFERROR(__xludf.DUMMYFUNCTION("""COMPUTED_VALUE"""),"26/12/2025 15:00")</f>
        <v>26/12/2025 15:00</v>
      </c>
      <c r="J32" s="62" t="str">
        <f ca="1">IFERROR(__xludf.DUMMYFUNCTION("""COMPUTED_VALUE"""),"26/12/2025 16:00")</f>
        <v>26/12/2025 16:00</v>
      </c>
      <c r="K32" s="62" t="str">
        <f ca="1">IFERROR(__xludf.DUMMYFUNCTION("""COMPUTED_VALUE"""),"29/12/2025 01:00")</f>
        <v>29/12/2025 01:00</v>
      </c>
      <c r="L32" s="71" t="str">
        <f ca="1">IFERROR(__xludf.DUMMYFUNCTION("""COMPUTED_VALUE"""),"29/12/2025 02:00")</f>
        <v>29/12/2025 02:00</v>
      </c>
      <c r="M32" s="62" t="str">
        <f ca="1">IFERROR(__xludf.DUMMYFUNCTION("""COMPUTED_VALUE"""),"29/12/2025 NOON")</f>
        <v>29/12/2025 NOON</v>
      </c>
    </row>
    <row r="33" spans="1:13" ht="18.75" hidden="1">
      <c r="A33" s="129"/>
      <c r="B33" s="129" t="str">
        <f ca="1">IFERROR(__xludf.DUMMYFUNCTION("""COMPUTED_VALUE"""),"WEEK 51/2025")</f>
        <v>WEEK 51/2025</v>
      </c>
      <c r="C33" s="132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33" s="129"/>
      <c r="E33" s="129"/>
      <c r="F33" s="129"/>
      <c r="G33" s="129"/>
      <c r="H33" s="129"/>
      <c r="I33" s="129"/>
      <c r="J33" s="129"/>
      <c r="K33" s="129"/>
      <c r="L33" s="129"/>
      <c r="M33" s="129"/>
    </row>
    <row r="34" spans="1:13" ht="18.75" hidden="1">
      <c r="A34" s="129"/>
      <c r="B34" s="129"/>
      <c r="C34" s="132"/>
      <c r="D34" s="129"/>
      <c r="E34" s="129"/>
      <c r="F34" s="129"/>
      <c r="G34" s="129"/>
      <c r="H34" s="129"/>
      <c r="I34" s="129"/>
      <c r="J34" s="129"/>
      <c r="K34" s="129"/>
      <c r="L34" s="129"/>
      <c r="M34" s="129"/>
    </row>
    <row r="35" spans="1:13" ht="18.75" hidden="1">
      <c r="A35" s="136" t="str">
        <f ca="1">IFERROR(__xludf.DUMMYFUNCTION("""COMPUTED_VALUE"""),"SERVICE")</f>
        <v>SERVICE</v>
      </c>
      <c r="B35" s="136" t="str">
        <f ca="1">IFERROR(__xludf.DUMMYFUNCTION("""COMPUTED_VALUE"""),"VESSEL NAME")</f>
        <v>VESSEL NAME</v>
      </c>
      <c r="C35" s="140" t="str">
        <f ca="1">IFERROR(__xludf.DUMMYFUNCTION("""COMPUTED_VALUE"""),"PORT")</f>
        <v>PORT</v>
      </c>
      <c r="D35" s="143" t="str">
        <f ca="1">IFERROR(__xludf.DUMMYFUNCTION("""COMPUTED_VALUE"""),"PERFOMA ETD")</f>
        <v>PERFOMA ETD</v>
      </c>
      <c r="E35" s="136" t="str">
        <f ca="1">IFERROR(__xludf.DUMMYFUNCTION("""COMPUTED_VALUE"""),"EX.RATE/DATE/")</f>
        <v>EX.RATE/DATE/</v>
      </c>
      <c r="F35" s="143" t="str">
        <f ca="1">IFERROR(__xludf.DUMMYFUNCTION("""COMPUTED_VALUE"""),"SI CUT OFF USA,MX")</f>
        <v>SI CUT OFF USA,MX</v>
      </c>
      <c r="G35" s="143" t="str">
        <f ca="1">IFERROR(__xludf.DUMMYFUNCTION("""COMPUTED_VALUE"""),"SI CUT OFF")</f>
        <v>SI CUT OFF</v>
      </c>
      <c r="H35" s="143" t="str">
        <f ca="1">IFERROR(__xludf.DUMMYFUNCTION("""COMPUTED_VALUE"""),"B/L CFM USA,MX")</f>
        <v>B/L CFM USA,MX</v>
      </c>
      <c r="I35" s="143" t="str">
        <f ca="1">IFERROR(__xludf.DUMMYFUNCTION("""COMPUTED_VALUE"""),"B/L CFM CHINA,JP,VN")</f>
        <v>B/L CFM CHINA,JP,VN</v>
      </c>
      <c r="J35" s="136" t="str">
        <f ca="1">IFERROR(__xludf.DUMMYFUNCTION("""COMPUTED_VALUE"""),"B/L CONFIRM")</f>
        <v>B/L CONFIRM</v>
      </c>
      <c r="K35" s="136" t="str">
        <f ca="1">IFERROR(__xludf.DUMMYFUNCTION("""COMPUTED_VALUE"""),"ETD")</f>
        <v>ETD</v>
      </c>
      <c r="L35" s="136" t="str">
        <f ca="1">IFERROR(__xludf.DUMMYFUNCTION("""COMPUTED_VALUE"""),"ATD")</f>
        <v>ATD</v>
      </c>
      <c r="M35" s="136" t="str">
        <f ca="1">IFERROR(__xludf.DUMMYFUNCTION("""COMPUTED_VALUE"""),"B/L ISSUED DATE")</f>
        <v>B/L ISSUED DATE</v>
      </c>
    </row>
    <row r="36" spans="1:13" ht="18.75" hidden="1">
      <c r="A36" s="152"/>
      <c r="B36" s="152"/>
      <c r="C36" s="154"/>
      <c r="D36" s="156"/>
      <c r="E36" s="152" t="str">
        <f ca="1">IFERROR(__xludf.DUMMYFUNCTION("""COMPUTED_VALUE"""),"BANGKOK BANK")</f>
        <v>BANGKOK BANK</v>
      </c>
      <c r="F36" s="156" t="str">
        <f ca="1">IFERROR(__xludf.DUMMYFUNCTION("""COMPUTED_VALUE"""),"4 days before ETD")</f>
        <v>4 days before ETD</v>
      </c>
      <c r="G36" s="156"/>
      <c r="H36" s="156" t="str">
        <f ca="1">IFERROR(__xludf.DUMMYFUNCTION("""COMPUTED_VALUE"""),"3 days before ETD")</f>
        <v>3 days before ETD</v>
      </c>
      <c r="I36" s="152" t="str">
        <f ca="1">IFERROR(__xludf.DUMMYFUNCTION("""COMPUTED_VALUE"""),"Direct port CUT OFF")</f>
        <v>Direct port CUT OFF</v>
      </c>
      <c r="J36" s="152" t="str">
        <f ca="1">IFERROR(__xludf.DUMMYFUNCTION("""COMPUTED_VALUE"""),"Orther port CUT OFF")</f>
        <v>Orther port CUT OFF</v>
      </c>
      <c r="K36" s="152" t="str">
        <f ca="1">IFERROR(__xludf.DUMMYFUNCTION("""COMPUTED_VALUE"""),"ON BOARD DATE")</f>
        <v>ON BOARD DATE</v>
      </c>
      <c r="L36" s="152" t="str">
        <f ca="1">IFERROR(__xludf.DUMMYFUNCTION("""COMPUTED_VALUE"""),"วันเรือออกจริง")</f>
        <v>วันเรือออกจริง</v>
      </c>
      <c r="M36" s="152" t="str">
        <f ca="1">IFERROR(__xludf.DUMMYFUNCTION("""COMPUTED_VALUE"""),"วันปล่อยบีแอล")</f>
        <v>วันปล่อยบีแอล</v>
      </c>
    </row>
    <row r="37" spans="1:13" ht="18.75" hidden="1">
      <c r="A37" s="129"/>
      <c r="B37" s="129"/>
      <c r="C37" s="132"/>
      <c r="D37" s="129"/>
      <c r="E37" s="129"/>
      <c r="F37" s="129"/>
      <c r="G37" s="129" t="str">
        <f ca="1">IFERROR(__xludf.DUMMYFUNCTION("""COMPUTED_VALUE"""),"3 days before ETD")</f>
        <v>3 days before ETD</v>
      </c>
      <c r="H37" s="129"/>
      <c r="I37" s="129" t="str">
        <f ca="1">IFERROR(__xludf.DUMMYFUNCTION("""COMPUTED_VALUE"""),"2 days before ETD")</f>
        <v>2 days before ETD</v>
      </c>
      <c r="J37" s="129" t="str">
        <f ca="1">IFERROR(__xludf.DUMMYFUNCTION("""COMPUTED_VALUE"""),"1 days before ETD")</f>
        <v>1 days before ETD</v>
      </c>
      <c r="K37" s="129" t="str">
        <f ca="1">IFERROR(__xludf.DUMMYFUNCTION("""COMPUTED_VALUE"""),"SHOW ON B/L")</f>
        <v>SHOW ON B/L</v>
      </c>
      <c r="L37" s="129"/>
      <c r="M37" s="129"/>
    </row>
    <row r="38" spans="1:13" ht="18.75" hidden="1">
      <c r="A38" s="129" t="str">
        <f ca="1">IFERROR(__xludf.DUMMYFUNCTION("""COMPUTED_VALUE"""),"TRX")</f>
        <v>TRX</v>
      </c>
      <c r="B38" s="129" t="str">
        <f ca="1">IFERROR(__xludf.DUMMYFUNCTION("""COMPUTED_VALUE"""),"JARU BHUM V.160N")</f>
        <v>JARU BHUM V.160N</v>
      </c>
      <c r="C38" s="132" t="str">
        <f ca="1">IFERROR(__xludf.DUMMYFUNCTION("""COMPUTED_VALUE"""),"THBKK")</f>
        <v>THBKK</v>
      </c>
      <c r="D38" s="129" t="str">
        <f ca="1">IFERROR(__xludf.DUMMYFUNCTION("""COMPUTED_VALUE"""),"13/12/2025 21:00")</f>
        <v>13/12/2025 21:00</v>
      </c>
      <c r="E38" s="129" t="str">
        <f ca="1">IFERROR(__xludf.DUMMYFUNCTION("""COMPUTED_VALUE"""),"32.02 11/12/2025")</f>
        <v>32.02 11/12/2025</v>
      </c>
      <c r="F38" s="129" t="str">
        <f ca="1">IFERROR(__xludf.DUMMYFUNCTION("""COMPUTED_VALUE"""),"16/12/2025 15:00")</f>
        <v>16/12/2025 15:00</v>
      </c>
      <c r="G38" s="129" t="str">
        <f ca="1">IFERROR(__xludf.DUMMYFUNCTION("""COMPUTED_VALUE"""),"17/12/2025 15:00")</f>
        <v>17/12/2025 15:00</v>
      </c>
      <c r="H38" s="129" t="str">
        <f ca="1">IFERROR(__xludf.DUMMYFUNCTION("""COMPUTED_VALUE"""),"17/12/2025 15:00")</f>
        <v>17/12/2025 15:00</v>
      </c>
      <c r="I38" s="162" t="str">
        <f ca="1">IFERROR(__xludf.DUMMYFUNCTION("""COMPUTED_VALUE"""),"18/12/2025 15:00")</f>
        <v>18/12/2025 15:00</v>
      </c>
      <c r="J38" s="162" t="str">
        <f ca="1">IFERROR(__xludf.DUMMYFUNCTION("""COMPUTED_VALUE"""),"19/12/2025 16:00")</f>
        <v>19/12/2025 16:00</v>
      </c>
      <c r="K38" s="162" t="str">
        <f ca="1">IFERROR(__xludf.DUMMYFUNCTION("""COMPUTED_VALUE"""),"20/12/2025 15:00")</f>
        <v>20/12/2025 15:00</v>
      </c>
      <c r="L38" s="129" t="str">
        <f ca="1">IFERROR(__xludf.DUMMYFUNCTION("""COMPUTED_VALUE"""),"20/12/2025 15:30")</f>
        <v>20/12/2025 15:30</v>
      </c>
      <c r="M38" s="129" t="str">
        <f ca="1">IFERROR(__xludf.DUMMYFUNCTION("""COMPUTED_VALUE"""),"22/12/2025 MORNING")</f>
        <v>22/12/2025 MORNING</v>
      </c>
    </row>
    <row r="39" spans="1:13" ht="18.75" hidden="1">
      <c r="A39" s="129"/>
      <c r="B39" s="129"/>
      <c r="C39" s="132" t="str">
        <f ca="1">IFERROR(__xludf.DUMMYFUNCTION("""COMPUTED_VALUE"""),"THLCB")</f>
        <v>THLCB</v>
      </c>
      <c r="D39" s="129" t="str">
        <f ca="1">IFERROR(__xludf.DUMMYFUNCTION("""COMPUTED_VALUE"""),"15/12/2025 09:00")</f>
        <v>15/12/2025 09:00</v>
      </c>
      <c r="E39" s="129"/>
      <c r="F39" s="129" t="str">
        <f ca="1">IFERROR(__xludf.DUMMYFUNCTION("""COMPUTED_VALUE"""),"16/12/2025 15:00")</f>
        <v>16/12/2025 15:00</v>
      </c>
      <c r="G39" s="129" t="str">
        <f ca="1">IFERROR(__xludf.DUMMYFUNCTION("""COMPUTED_VALUE"""),"17/12/2025 15:00")</f>
        <v>17/12/2025 15:00</v>
      </c>
      <c r="H39" s="129" t="str">
        <f ca="1">IFERROR(__xludf.DUMMYFUNCTION("""COMPUTED_VALUE"""),"17/12/2025 15:00")</f>
        <v>17/12/2025 15:00</v>
      </c>
      <c r="I39" s="162" t="str">
        <f ca="1">IFERROR(__xludf.DUMMYFUNCTION("""COMPUTED_VALUE"""),"18/12/2025 15:00")</f>
        <v>18/12/2025 15:00</v>
      </c>
      <c r="J39" s="162" t="str">
        <f ca="1">IFERROR(__xludf.DUMMYFUNCTION("""COMPUTED_VALUE"""),"19/12/2025 16:00")</f>
        <v>19/12/2025 16:00</v>
      </c>
      <c r="K39" s="162" t="str">
        <f ca="1">IFERROR(__xludf.DUMMYFUNCTION("""COMPUTED_VALUE"""),"21/12/2025 07:00")</f>
        <v>21/12/2025 07:00</v>
      </c>
      <c r="L39" s="129" t="str">
        <f ca="1">IFERROR(__xludf.DUMMYFUNCTION("""COMPUTED_VALUE"""),"21/12/2025 10:18")</f>
        <v>21/12/2025 10:18</v>
      </c>
      <c r="M39" s="129" t="str">
        <f ca="1">IFERROR(__xludf.DUMMYFUNCTION("""COMPUTED_VALUE"""),"22/12/2025 MORNING")</f>
        <v>22/12/2025 MORNING</v>
      </c>
    </row>
    <row r="40" spans="1:13" ht="18.75" hidden="1">
      <c r="A40" s="129" t="str">
        <f ca="1">IFERROR(__xludf.DUMMYFUNCTION("""COMPUTED_VALUE"""),"CHT")</f>
        <v>CHT</v>
      </c>
      <c r="B40" s="129" t="str">
        <f ca="1">IFERROR(__xludf.DUMMYFUNCTION("""COMPUTED_VALUE"""),"SAWASDEE RIGEL V.2513N")</f>
        <v>SAWASDEE RIGEL V.2513N</v>
      </c>
      <c r="C40" s="132" t="str">
        <f ca="1">IFERROR(__xludf.DUMMYFUNCTION("""COMPUTED_VALUE"""),"THBKK")</f>
        <v>THBKK</v>
      </c>
      <c r="D40" s="166">
        <f ca="1">IFERROR(__xludf.DUMMYFUNCTION("""COMPUTED_VALUE"""),45728.3333333333)</f>
        <v>45728.333333333299</v>
      </c>
      <c r="E40" s="129" t="str">
        <f ca="1">IFERROR(__xludf.DUMMYFUNCTION("""COMPUTED_VALUE"""),"32.09 09/12/2025")</f>
        <v>32.09 09/12/2025</v>
      </c>
      <c r="F40" s="129" t="str">
        <f ca="1">IFERROR(__xludf.DUMMYFUNCTION("""COMPUTED_VALUE"""),"15/12/2025 15:00")</f>
        <v>15/12/2025 15:00</v>
      </c>
      <c r="G40" s="129" t="str">
        <f ca="1">IFERROR(__xludf.DUMMYFUNCTION("""COMPUTED_VALUE"""),"16/12/2025 15:00")</f>
        <v>16/12/2025 15:00</v>
      </c>
      <c r="H40" s="129" t="str">
        <f ca="1">IFERROR(__xludf.DUMMYFUNCTION("""COMPUTED_VALUE"""),"16/12/2025 15:00")</f>
        <v>16/12/2025 15:00</v>
      </c>
      <c r="I40" s="162" t="str">
        <f ca="1">IFERROR(__xludf.DUMMYFUNCTION("""COMPUTED_VALUE"""),"17/12/2025 15:00")</f>
        <v>17/12/2025 15:00</v>
      </c>
      <c r="J40" s="162" t="str">
        <f ca="1">IFERROR(__xludf.DUMMYFUNCTION("""COMPUTED_VALUE"""),"18/12/2025 16:00")</f>
        <v>18/12/2025 16:00</v>
      </c>
      <c r="K40" s="162" t="str">
        <f ca="1">IFERROR(__xludf.DUMMYFUNCTION("""COMPUTED_VALUE"""),"19/12/2025 02:00")</f>
        <v>19/12/2025 02:00</v>
      </c>
      <c r="L40" s="129" t="str">
        <f ca="1">IFERROR(__xludf.DUMMYFUNCTION("""COMPUTED_VALUE"""),"19/12/2025 02.00")</f>
        <v>19/12/2025 02.00</v>
      </c>
      <c r="M40" s="129" t="str">
        <f ca="1">IFERROR(__xludf.DUMMYFUNCTION("""COMPUTED_VALUE"""),"19/12/2025 NOON")</f>
        <v>19/12/2025 NOON</v>
      </c>
    </row>
    <row r="41" spans="1:13" ht="18.75" hidden="1">
      <c r="A41" s="129"/>
      <c r="B41" s="129"/>
      <c r="C41" s="132" t="str">
        <f ca="1">IFERROR(__xludf.DUMMYFUNCTION("""COMPUTED_VALUE"""),"THLCB")</f>
        <v>THLCB</v>
      </c>
      <c r="D41" s="166">
        <f ca="1">IFERROR(__xludf.DUMMYFUNCTION("""COMPUTED_VALUE"""),45759.1666666666)</f>
        <v>45759.166666666599</v>
      </c>
      <c r="E41" s="129"/>
      <c r="F41" s="129" t="str">
        <f ca="1">IFERROR(__xludf.DUMMYFUNCTION("""COMPUTED_VALUE"""),"15/12/2025 15:00")</f>
        <v>15/12/2025 15:00</v>
      </c>
      <c r="G41" s="129" t="str">
        <f ca="1">IFERROR(__xludf.DUMMYFUNCTION("""COMPUTED_VALUE"""),"16/12/2025 15:00")</f>
        <v>16/12/2025 15:00</v>
      </c>
      <c r="H41" s="129" t="str">
        <f ca="1">IFERROR(__xludf.DUMMYFUNCTION("""COMPUTED_VALUE"""),"16/12/2025 15:00")</f>
        <v>16/12/2025 15:00</v>
      </c>
      <c r="I41" s="162" t="str">
        <f ca="1">IFERROR(__xludf.DUMMYFUNCTION("""COMPUTED_VALUE"""),"17/12/2025 15:00")</f>
        <v>17/12/2025 15:00</v>
      </c>
      <c r="J41" s="162" t="str">
        <f ca="1">IFERROR(__xludf.DUMMYFUNCTION("""COMPUTED_VALUE"""),"18/12/2025 16:00")</f>
        <v>18/12/2025 16:00</v>
      </c>
      <c r="K41" s="162" t="str">
        <f ca="1">IFERROR(__xludf.DUMMYFUNCTION("""COMPUTED_VALUE"""),"19/12/2025 20:00")</f>
        <v>19/12/2025 20:00</v>
      </c>
      <c r="L41" s="129" t="str">
        <f ca="1">IFERROR(__xludf.DUMMYFUNCTION("""COMPUTED_VALUE"""),"20/12/2025 02:02")</f>
        <v>20/12/2025 02:02</v>
      </c>
      <c r="M41" s="129" t="str">
        <f ca="1">IFERROR(__xludf.DUMMYFUNCTION("""COMPUTED_VALUE"""),"22/12/2025 MORNING")</f>
        <v>22/12/2025 MORNING</v>
      </c>
    </row>
    <row r="42" spans="1:13" ht="18.75" hidden="1">
      <c r="A42" s="129" t="str">
        <f ca="1">IFERROR(__xludf.DUMMYFUNCTION("""COMPUTED_VALUE"""),"CVT")</f>
        <v>CVT</v>
      </c>
      <c r="B42" s="129" t="str">
        <f ca="1">IFERROR(__xludf.DUMMYFUNCTION("""COMPUTED_VALUE"""),"LITTLE DOLPHIN V.2517N")</f>
        <v>LITTLE DOLPHIN V.2517N</v>
      </c>
      <c r="C42" s="132" t="str">
        <f ca="1">IFERROR(__xludf.DUMMYFUNCTION("""COMPUTED_VALUE"""),"THBKK")</f>
        <v>THBKK</v>
      </c>
      <c r="D42" s="166">
        <f ca="1">IFERROR(__xludf.DUMMYFUNCTION("""COMPUTED_VALUE"""),45973.3333333333)</f>
        <v>45973.333333333299</v>
      </c>
      <c r="E42" s="129" t="str">
        <f ca="1">IFERROR(__xludf.DUMMYFUNCTION("""COMPUTED_VALUE"""),"32.27 04/12/2025")</f>
        <v>32.27 04/12/2025</v>
      </c>
      <c r="F42" s="129" t="str">
        <f ca="1">IFERROR(__xludf.DUMMYFUNCTION("""COMPUTED_VALUE"""),"15/12/2025 15:00")</f>
        <v>15/12/2025 15:00</v>
      </c>
      <c r="G42" s="129" t="str">
        <f ca="1">IFERROR(__xludf.DUMMYFUNCTION("""COMPUTED_VALUE"""),"15/12/2025 15:00")</f>
        <v>15/12/2025 15:00</v>
      </c>
      <c r="H42" s="129" t="str">
        <f ca="1">IFERROR(__xludf.DUMMYFUNCTION("""COMPUTED_VALUE"""),"15/12/2025 15:00")</f>
        <v>15/12/2025 15:00</v>
      </c>
      <c r="I42" s="162" t="str">
        <f ca="1">IFERROR(__xludf.DUMMYFUNCTION("""COMPUTED_VALUE"""),"16/12/2025 15:00")</f>
        <v>16/12/2025 15:00</v>
      </c>
      <c r="J42" s="162" t="str">
        <f ca="1">IFERROR(__xludf.DUMMYFUNCTION("""COMPUTED_VALUE"""),"17/12/2025 16:00")</f>
        <v>17/12/2025 16:00</v>
      </c>
      <c r="K42" s="162" t="str">
        <f ca="1">IFERROR(__xludf.DUMMYFUNCTION("""COMPUTED_VALUE"""),"18/12/2025 12:00")</f>
        <v>18/12/2025 12:00</v>
      </c>
      <c r="L42" s="129" t="str">
        <f ca="1">IFERROR(__xludf.DUMMYFUNCTION("""COMPUTED_VALUE"""),"18/12/2025 12:00")</f>
        <v>18/12/2025 12:00</v>
      </c>
      <c r="M42" s="129" t="str">
        <f ca="1">IFERROR(__xludf.DUMMYFUNCTION("""COMPUTED_VALUE"""),"18/12/2025 NOON")</f>
        <v>18/12/2025 NOON</v>
      </c>
    </row>
    <row r="43" spans="1:13" ht="18.75" hidden="1">
      <c r="A43" s="129"/>
      <c r="B43" s="129"/>
      <c r="C43" s="132" t="str">
        <f ca="1">IFERROR(__xludf.DUMMYFUNCTION("""COMPUTED_VALUE"""),"THLCB")</f>
        <v>THLCB</v>
      </c>
      <c r="D43" s="166">
        <f ca="1">IFERROR(__xludf.DUMMYFUNCTION("""COMPUTED_VALUE"""),46003.1666666666)</f>
        <v>46003.166666666599</v>
      </c>
      <c r="E43" s="129"/>
      <c r="F43" s="129" t="str">
        <f ca="1">IFERROR(__xludf.DUMMYFUNCTION("""COMPUTED_VALUE"""),"15/12/2025 15:00")</f>
        <v>15/12/2025 15:00</v>
      </c>
      <c r="G43" s="129" t="str">
        <f ca="1">IFERROR(__xludf.DUMMYFUNCTION("""COMPUTED_VALUE"""),"16/12/2025 15:00")</f>
        <v>16/12/2025 15:00</v>
      </c>
      <c r="H43" s="129" t="str">
        <f ca="1">IFERROR(__xludf.DUMMYFUNCTION("""COMPUTED_VALUE"""),"16/12/2025 15:00")</f>
        <v>16/12/2025 15:00</v>
      </c>
      <c r="I43" s="162" t="str">
        <f ca="1">IFERROR(__xludf.DUMMYFUNCTION("""COMPUTED_VALUE"""),"17/12/2025 15:00")</f>
        <v>17/12/2025 15:00</v>
      </c>
      <c r="J43" s="162" t="str">
        <f ca="1">IFERROR(__xludf.DUMMYFUNCTION("""COMPUTED_VALUE"""),"18/12/2025 16:00")</f>
        <v>18/12/2025 16:00</v>
      </c>
      <c r="K43" s="162" t="str">
        <f ca="1">IFERROR(__xludf.DUMMYFUNCTION("""COMPUTED_VALUE"""),"19/12/2025 20:00")</f>
        <v>19/12/2025 20:00</v>
      </c>
      <c r="L43" s="129" t="str">
        <f ca="1">IFERROR(__xludf.DUMMYFUNCTION("""COMPUTED_VALUE"""),"19/12/2025 20:00")</f>
        <v>19/12/2025 20:00</v>
      </c>
      <c r="M43" s="129" t="str">
        <f ca="1">IFERROR(__xludf.DUMMYFUNCTION("""COMPUTED_VALUE"""),"22/12/2025 MORNING")</f>
        <v>22/12/2025 MORNING</v>
      </c>
    </row>
    <row r="44" spans="1:13" ht="18.75" hidden="1">
      <c r="A44" s="129" t="str">
        <f ca="1">IFERROR(__xludf.DUMMYFUNCTION("""COMPUTED_VALUE"""),"JTX")</f>
        <v>JTX</v>
      </c>
      <c r="B44" s="178" t="str">
        <f ca="1">IFERROR(__xludf.DUMMYFUNCTION("""COMPUTED_VALUE"""),"SHUN LONG V.0QIMCN/1NC")</f>
        <v>SHUN LONG V.0QIMCN/1NC</v>
      </c>
      <c r="C44" s="132" t="str">
        <f ca="1">IFERROR(__xludf.DUMMYFUNCTION("""COMPUTED_VALUE"""),"THLCB")</f>
        <v>THLCB</v>
      </c>
      <c r="D44" s="166">
        <f ca="1">IFERROR(__xludf.DUMMYFUNCTION("""COMPUTED_VALUE"""),45789.9166666666)</f>
        <v>45789.916666666599</v>
      </c>
      <c r="E44" s="129" t="str">
        <f ca="1">IFERROR(__xludf.DUMMYFUNCTION("""COMPUTED_VALUE"""),"32.09 09/12/2025")</f>
        <v>32.09 09/12/2025</v>
      </c>
      <c r="F44" s="129" t="str">
        <f ca="1">IFERROR(__xludf.DUMMYFUNCTION("""COMPUTED_VALUE"""),"14/12/2025 15:00")</f>
        <v>14/12/2025 15:00</v>
      </c>
      <c r="G44" s="129" t="str">
        <f ca="1">IFERROR(__xludf.DUMMYFUNCTION("""COMPUTED_VALUE"""),"15/12/2025 15:00")</f>
        <v>15/12/2025 15:00</v>
      </c>
      <c r="H44" s="129" t="str">
        <f ca="1">IFERROR(__xludf.DUMMYFUNCTION("""COMPUTED_VALUE"""),"15/12/2025 15:00")</f>
        <v>15/12/2025 15:00</v>
      </c>
      <c r="I44" s="162" t="str">
        <f ca="1">IFERROR(__xludf.DUMMYFUNCTION("""COMPUTED_VALUE"""),"16/12/2025 15:00")</f>
        <v>16/12/2025 15:00</v>
      </c>
      <c r="J44" s="162" t="str">
        <f ca="1">IFERROR(__xludf.DUMMYFUNCTION("""COMPUTED_VALUE"""),"16/12/2025 16:00")</f>
        <v>16/12/2025 16:00</v>
      </c>
      <c r="K44" s="162" t="str">
        <f ca="1">IFERROR(__xludf.DUMMYFUNCTION("""COMPUTED_VALUE"""),"17/12/2025 12:00")</f>
        <v>17/12/2025 12:00</v>
      </c>
      <c r="L44" s="129" t="str">
        <f ca="1">IFERROR(__xludf.DUMMYFUNCTION("""COMPUTED_VALUE"""),"17/12/2025 12:30")</f>
        <v>17/12/2025 12:30</v>
      </c>
      <c r="M44" s="129" t="str">
        <f ca="1">IFERROR(__xludf.DUMMYFUNCTION("""COMPUTED_VALUE"""),"18/12/2025 MORNING")</f>
        <v>18/12/2025 MORNING</v>
      </c>
    </row>
    <row r="45" spans="1:13" ht="18.75" hidden="1">
      <c r="A45" s="129" t="str">
        <f ca="1">IFERROR(__xludf.DUMMYFUNCTION("""COMPUTED_VALUE"""),"SVT")</f>
        <v>SVT</v>
      </c>
      <c r="B45" s="129" t="str">
        <f ca="1">IFERROR(__xludf.DUMMYFUNCTION("""COMPUTED_VALUE"""),"ANBIEN SKY V.N021")</f>
        <v>ANBIEN SKY V.N021</v>
      </c>
      <c r="C45" s="132" t="str">
        <f ca="1">IFERROR(__xludf.DUMMYFUNCTION("""COMPUTED_VALUE"""),"THBKK")</f>
        <v>THBKK</v>
      </c>
      <c r="D45" s="129" t="str">
        <f ca="1">IFERROR(__xludf.DUMMYFUNCTION("""COMPUTED_VALUE"""),"18/12/2025 23:00")</f>
        <v>18/12/2025 23:00</v>
      </c>
      <c r="E45" s="129" t="str">
        <f ca="1">IFERROR(__xludf.DUMMYFUNCTION("""COMPUTED_VALUE"""),"32.02 11/12/2025")</f>
        <v>32.02 11/12/2025</v>
      </c>
      <c r="F45" s="129" t="str">
        <f ca="1">IFERROR(__xludf.DUMMYFUNCTION("""COMPUTED_VALUE"""),"16/12/2025 15:00")</f>
        <v>16/12/2025 15:00</v>
      </c>
      <c r="G45" s="129" t="str">
        <f ca="1">IFERROR(__xludf.DUMMYFUNCTION("""COMPUTED_VALUE"""),"17/12/2025 15:00")</f>
        <v>17/12/2025 15:00</v>
      </c>
      <c r="H45" s="129" t="str">
        <f ca="1">IFERROR(__xludf.DUMMYFUNCTION("""COMPUTED_VALUE"""),"17/12/2025 15:00")</f>
        <v>17/12/2025 15:00</v>
      </c>
      <c r="I45" s="162" t="str">
        <f ca="1">IFERROR(__xludf.DUMMYFUNCTION("""COMPUTED_VALUE"""),"18/12/2025 15:00")</f>
        <v>18/12/2025 15:00</v>
      </c>
      <c r="J45" s="162" t="str">
        <f ca="1">IFERROR(__xludf.DUMMYFUNCTION("""COMPUTED_VALUE"""),"19/12/2025 16:00")</f>
        <v>19/12/2025 16:00</v>
      </c>
      <c r="K45" s="162" t="str">
        <f ca="1">IFERROR(__xludf.DUMMYFUNCTION("""COMPUTED_VALUE"""),"20/12/2025 05:00")</f>
        <v>20/12/2025 05:00</v>
      </c>
      <c r="L45" s="129" t="str">
        <f ca="1">IFERROR(__xludf.DUMMYFUNCTION("""COMPUTED_VALUE"""),"20/12/2025 05:00")</f>
        <v>20/12/2025 05:00</v>
      </c>
      <c r="M45" s="129" t="str">
        <f ca="1">IFERROR(__xludf.DUMMYFUNCTION("""COMPUTED_VALUE"""),"22/12/2025 MORNING")</f>
        <v>22/12/2025 MORNING</v>
      </c>
    </row>
    <row r="46" spans="1:13" ht="18.75" hidden="1">
      <c r="A46" s="75"/>
      <c r="B46" s="75"/>
      <c r="C46" s="78" t="str">
        <f ca="1">IFERROR(__xludf.DUMMYFUNCTION("""COMPUTED_VALUE"""),"THLCB")</f>
        <v>THLCB</v>
      </c>
      <c r="D46" s="83" t="str">
        <f ca="1">IFERROR(__xludf.DUMMYFUNCTION("""COMPUTED_VALUE"""),"20/12/2025 00:01")</f>
        <v>20/12/2025 00:01</v>
      </c>
      <c r="E46" s="75"/>
      <c r="F46" s="75" t="str">
        <f ca="1">IFERROR(__xludf.DUMMYFUNCTION("""COMPUTED_VALUE"""),"16/12/2025 15:00")</f>
        <v>16/12/2025 15:00</v>
      </c>
      <c r="G46" s="75" t="str">
        <f ca="1">IFERROR(__xludf.DUMMYFUNCTION("""COMPUTED_VALUE"""),"17/12/2025 15:00")</f>
        <v>17/12/2025 15:00</v>
      </c>
      <c r="H46" s="75" t="str">
        <f ca="1">IFERROR(__xludf.DUMMYFUNCTION("""COMPUTED_VALUE"""),"17/12/2025 15:00")</f>
        <v>17/12/2025 15:00</v>
      </c>
      <c r="I46" s="83" t="str">
        <f ca="1">IFERROR(__xludf.DUMMYFUNCTION("""COMPUTED_VALUE"""),"18/12/2025 15:00")</f>
        <v>18/12/2025 15:00</v>
      </c>
      <c r="J46" s="83" t="str">
        <f ca="1">IFERROR(__xludf.DUMMYFUNCTION("""COMPUTED_VALUE"""),"19/12/2025 16:00")</f>
        <v>19/12/2025 16:00</v>
      </c>
      <c r="K46" s="75" t="str">
        <f ca="1">IFERROR(__xludf.DUMMYFUNCTION("""COMPUTED_VALUE"""),"21/12/2025 02:00")</f>
        <v>21/12/2025 02:00</v>
      </c>
      <c r="L46" s="75" t="str">
        <f ca="1">IFERROR(__xludf.DUMMYFUNCTION("""COMPUTED_VALUE"""),"21/12/2025 08:00")</f>
        <v>21/12/2025 08:00</v>
      </c>
      <c r="M46" s="75" t="str">
        <f ca="1">IFERROR(__xludf.DUMMYFUNCTION("""COMPUTED_VALUE"""),"22/12/2025 MORNING")</f>
        <v>22/12/2025 MORNING</v>
      </c>
    </row>
    <row r="47" spans="1:13" ht="18.75" hidden="1">
      <c r="A47" s="129"/>
      <c r="B47" s="129"/>
      <c r="C47" s="132"/>
      <c r="D47" s="129"/>
      <c r="E47" s="129"/>
      <c r="F47" s="129"/>
      <c r="G47" s="129"/>
      <c r="H47" s="129"/>
      <c r="I47" s="162"/>
      <c r="J47" s="162"/>
      <c r="K47" s="162"/>
      <c r="L47" s="129"/>
      <c r="M47" s="129"/>
    </row>
    <row r="48" spans="1:13" ht="18.75" hidden="1">
      <c r="A48" s="129"/>
      <c r="B48" s="129" t="str">
        <f ca="1">IFERROR(__xludf.DUMMYFUNCTION("""COMPUTED_VALUE"""),"WEEK 50/2025")</f>
        <v>WEEK 50/2025</v>
      </c>
      <c r="C48" s="132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48" s="129"/>
      <c r="E48" s="129"/>
      <c r="F48" s="129"/>
      <c r="G48" s="129"/>
      <c r="H48" s="129"/>
      <c r="I48" s="162"/>
      <c r="J48" s="162"/>
      <c r="K48" s="162"/>
      <c r="L48" s="129"/>
      <c r="M48" s="129"/>
    </row>
    <row r="49" spans="1:13" ht="18.75" hidden="1">
      <c r="A49" s="129"/>
      <c r="B49" s="129"/>
      <c r="C49" s="132" t="str">
        <f ca="1">IFERROR(__xludf.DUMMYFUNCTION("""COMPUTED_VALUE"""),"HOLIDAYS 10 DEC2025 Constitution Day")</f>
        <v>HOLIDAYS 10 DEC2025 Constitution Day</v>
      </c>
      <c r="D49" s="129"/>
      <c r="E49" s="129"/>
      <c r="F49" s="129"/>
      <c r="G49" s="129"/>
      <c r="H49" s="129"/>
      <c r="I49" s="162"/>
      <c r="J49" s="162"/>
      <c r="K49" s="162"/>
      <c r="L49" s="129"/>
      <c r="M49" s="129"/>
    </row>
    <row r="50" spans="1:13" ht="18.75" hidden="1">
      <c r="A50" s="129" t="str">
        <f ca="1">IFERROR(__xludf.DUMMYFUNCTION("""COMPUTED_VALUE"""),"SERVICE")</f>
        <v>SERVICE</v>
      </c>
      <c r="B50" s="129" t="str">
        <f ca="1">IFERROR(__xludf.DUMMYFUNCTION("""COMPUTED_VALUE"""),"VESSEL NAME")</f>
        <v>VESSEL NAME</v>
      </c>
      <c r="C50" s="132" t="str">
        <f ca="1">IFERROR(__xludf.DUMMYFUNCTION("""COMPUTED_VALUE"""),"PORT")</f>
        <v>PORT</v>
      </c>
      <c r="D50" s="129" t="str">
        <f ca="1">IFERROR(__xludf.DUMMYFUNCTION("""COMPUTED_VALUE"""),"PERFOMA ETD")</f>
        <v>PERFOMA ETD</v>
      </c>
      <c r="E50" s="129" t="str">
        <f ca="1">IFERROR(__xludf.DUMMYFUNCTION("""COMPUTED_VALUE"""),"EX.RATE/DATE/")</f>
        <v>EX.RATE/DATE/</v>
      </c>
      <c r="F50" s="129" t="str">
        <f ca="1">IFERROR(__xludf.DUMMYFUNCTION("""COMPUTED_VALUE"""),"SI CUT OFF USA,MX")</f>
        <v>SI CUT OFF USA,MX</v>
      </c>
      <c r="G50" s="129" t="str">
        <f ca="1">IFERROR(__xludf.DUMMYFUNCTION("""COMPUTED_VALUE"""),"SI CUT OFF")</f>
        <v>SI CUT OFF</v>
      </c>
      <c r="H50" s="129" t="str">
        <f ca="1">IFERROR(__xludf.DUMMYFUNCTION("""COMPUTED_VALUE"""),"B/L CFM USA,MX")</f>
        <v>B/L CFM USA,MX</v>
      </c>
      <c r="I50" s="162" t="str">
        <f ca="1">IFERROR(__xludf.DUMMYFUNCTION("""COMPUTED_VALUE"""),"B/L CFM CHINA,JP,VN")</f>
        <v>B/L CFM CHINA,JP,VN</v>
      </c>
      <c r="J50" s="162" t="str">
        <f ca="1">IFERROR(__xludf.DUMMYFUNCTION("""COMPUTED_VALUE"""),"B/L CONFIRM")</f>
        <v>B/L CONFIRM</v>
      </c>
      <c r="K50" s="162" t="str">
        <f ca="1">IFERROR(__xludf.DUMMYFUNCTION("""COMPUTED_VALUE"""),"ETD")</f>
        <v>ETD</v>
      </c>
      <c r="L50" s="129" t="str">
        <f ca="1">IFERROR(__xludf.DUMMYFUNCTION("""COMPUTED_VALUE"""),"ATD")</f>
        <v>ATD</v>
      </c>
      <c r="M50" s="129" t="str">
        <f ca="1">IFERROR(__xludf.DUMMYFUNCTION("""COMPUTED_VALUE"""),"B/L ISSUED DATE")</f>
        <v>B/L ISSUED DATE</v>
      </c>
    </row>
    <row r="51" spans="1:13" ht="18.75" hidden="1">
      <c r="A51" s="129"/>
      <c r="B51" s="129"/>
      <c r="C51" s="132"/>
      <c r="D51" s="129"/>
      <c r="E51" s="129" t="str">
        <f ca="1">IFERROR(__xludf.DUMMYFUNCTION("""COMPUTED_VALUE"""),"BANGKOK BANK")</f>
        <v>BANGKOK BANK</v>
      </c>
      <c r="F51" s="129" t="str">
        <f ca="1">IFERROR(__xludf.DUMMYFUNCTION("""COMPUTED_VALUE"""),"4 days before ETD")</f>
        <v>4 days before ETD</v>
      </c>
      <c r="G51" s="129"/>
      <c r="H51" s="129" t="str">
        <f ca="1">IFERROR(__xludf.DUMMYFUNCTION("""COMPUTED_VALUE"""),"3 days before ETD")</f>
        <v>3 days before ETD</v>
      </c>
      <c r="I51" s="162" t="str">
        <f ca="1">IFERROR(__xludf.DUMMYFUNCTION("""COMPUTED_VALUE"""),"Direct port CUT OFF")</f>
        <v>Direct port CUT OFF</v>
      </c>
      <c r="J51" s="162" t="str">
        <f ca="1">IFERROR(__xludf.DUMMYFUNCTION("""COMPUTED_VALUE"""),"Orther port CUT OFF")</f>
        <v>Orther port CUT OFF</v>
      </c>
      <c r="K51" s="162" t="str">
        <f ca="1">IFERROR(__xludf.DUMMYFUNCTION("""COMPUTED_VALUE"""),"ON BOARD DATE")</f>
        <v>ON BOARD DATE</v>
      </c>
      <c r="L51" s="129" t="str">
        <f ca="1">IFERROR(__xludf.DUMMYFUNCTION("""COMPUTED_VALUE"""),"วันเรือออกจริง")</f>
        <v>วันเรือออกจริง</v>
      </c>
      <c r="M51" s="129" t="str">
        <f ca="1">IFERROR(__xludf.DUMMYFUNCTION("""COMPUTED_VALUE"""),"วันปล่อยบีแอล")</f>
        <v>วันปล่อยบีแอล</v>
      </c>
    </row>
    <row r="52" spans="1:13" ht="18.75" hidden="1">
      <c r="A52" s="129"/>
      <c r="B52" s="129"/>
      <c r="C52" s="132"/>
      <c r="D52" s="129"/>
      <c r="E52" s="129"/>
      <c r="F52" s="129"/>
      <c r="G52" s="129" t="str">
        <f ca="1">IFERROR(__xludf.DUMMYFUNCTION("""COMPUTED_VALUE"""),"3 days before ETD")</f>
        <v>3 days before ETD</v>
      </c>
      <c r="H52" s="129"/>
      <c r="I52" s="162" t="str">
        <f ca="1">IFERROR(__xludf.DUMMYFUNCTION("""COMPUTED_VALUE"""),"2 days before ETD")</f>
        <v>2 days before ETD</v>
      </c>
      <c r="J52" s="162" t="str">
        <f ca="1">IFERROR(__xludf.DUMMYFUNCTION("""COMPUTED_VALUE"""),"1 days before ETD")</f>
        <v>1 days before ETD</v>
      </c>
      <c r="K52" s="162" t="str">
        <f ca="1">IFERROR(__xludf.DUMMYFUNCTION("""COMPUTED_VALUE"""),"SHOW ON B/L")</f>
        <v>SHOW ON B/L</v>
      </c>
      <c r="L52" s="129"/>
      <c r="M52" s="129"/>
    </row>
    <row r="53" spans="1:13" ht="18.75" hidden="1">
      <c r="A53" s="129" t="str">
        <f ca="1">IFERROR(__xludf.DUMMYFUNCTION("""COMPUTED_VALUE"""),"TRX")</f>
        <v>TRX</v>
      </c>
      <c r="B53" s="129" t="str">
        <f ca="1">IFERROR(__xludf.DUMMYFUNCTION("""COMPUTED_VALUE"""),"TS JAKARTA V.25038N")</f>
        <v>TS JAKARTA V.25038N</v>
      </c>
      <c r="C53" s="132" t="str">
        <f ca="1">IFERROR(__xludf.DUMMYFUNCTION("""COMPUTED_VALUE"""),"THBKK")</f>
        <v>THBKK</v>
      </c>
      <c r="D53" s="166">
        <f ca="1">IFERROR(__xludf.DUMMYFUNCTION("""COMPUTED_VALUE"""),45820.875)</f>
        <v>45820.875</v>
      </c>
      <c r="E53" s="129" t="str">
        <f ca="1">IFERROR(__xludf.DUMMYFUNCTION("""COMPUTED_VALUE"""),"32.25 01/12/2025")</f>
        <v>32.25 01/12/2025</v>
      </c>
      <c r="F53" s="166">
        <f ca="1">IFERROR(__xludf.DUMMYFUNCTION("""COMPUTED_VALUE"""),45850.625)</f>
        <v>45850.625</v>
      </c>
      <c r="G53" s="166">
        <f ca="1">IFERROR(__xludf.DUMMYFUNCTION("""COMPUTED_VALUE"""),45881.625)</f>
        <v>45881.625</v>
      </c>
      <c r="H53" s="166">
        <f ca="1">IFERROR(__xludf.DUMMYFUNCTION("""COMPUTED_VALUE"""),45881.625)</f>
        <v>45881.625</v>
      </c>
      <c r="I53" s="187">
        <f ca="1">IFERROR(__xludf.DUMMYFUNCTION("""COMPUTED_VALUE"""),45912.625)</f>
        <v>45912.625</v>
      </c>
      <c r="J53" s="187">
        <f ca="1">IFERROR(__xludf.DUMMYFUNCTION("""COMPUTED_VALUE"""),45912.6666666666)</f>
        <v>45912.666666666599</v>
      </c>
      <c r="K53" s="187">
        <f ca="1">IFERROR(__xludf.DUMMYFUNCTION("""COMPUTED_VALUE"""),45942.2916666666)</f>
        <v>45942.291666666599</v>
      </c>
      <c r="L53" s="166">
        <f ca="1">IFERROR(__xludf.DUMMYFUNCTION("""COMPUTED_VALUE"""),45942.2916666666)</f>
        <v>45942.291666666599</v>
      </c>
      <c r="M53" s="129" t="str">
        <f ca="1">IFERROR(__xludf.DUMMYFUNCTION("""COMPUTED_VALUE"""),"11/12/2025 MORNING")</f>
        <v>11/12/2025 MORNING</v>
      </c>
    </row>
    <row r="54" spans="1:13" ht="18.75" hidden="1">
      <c r="A54" s="129"/>
      <c r="B54" s="129"/>
      <c r="C54" s="132" t="str">
        <f ca="1">IFERROR(__xludf.DUMMYFUNCTION("""COMPUTED_VALUE"""),"THLCB")</f>
        <v>THLCB</v>
      </c>
      <c r="D54" s="166">
        <f ca="1">IFERROR(__xludf.DUMMYFUNCTION("""COMPUTED_VALUE"""),45881.375)</f>
        <v>45881.375</v>
      </c>
      <c r="E54" s="129"/>
      <c r="F54" s="166">
        <f ca="1">IFERROR(__xludf.DUMMYFUNCTION("""COMPUTED_VALUE"""),45850.625)</f>
        <v>45850.625</v>
      </c>
      <c r="G54" s="166">
        <f ca="1">IFERROR(__xludf.DUMMYFUNCTION("""COMPUTED_VALUE"""),45881.625)</f>
        <v>45881.625</v>
      </c>
      <c r="H54" s="166">
        <f ca="1">IFERROR(__xludf.DUMMYFUNCTION("""COMPUTED_VALUE"""),45881.625)</f>
        <v>45881.625</v>
      </c>
      <c r="I54" s="187">
        <f ca="1">IFERROR(__xludf.DUMMYFUNCTION("""COMPUTED_VALUE"""),45912.625)</f>
        <v>45912.625</v>
      </c>
      <c r="J54" s="187">
        <f ca="1">IFERROR(__xludf.DUMMYFUNCTION("""COMPUTED_VALUE"""),45912.6666666666)</f>
        <v>45912.666666666599</v>
      </c>
      <c r="K54" s="193">
        <f ca="1">IFERROR(__xludf.DUMMYFUNCTION("""COMPUTED_VALUE"""),45973.125)</f>
        <v>45973.125</v>
      </c>
      <c r="L54" s="166">
        <f ca="1">IFERROR(__xludf.DUMMYFUNCTION("""COMPUTED_VALUE"""),45973.125)</f>
        <v>45973.125</v>
      </c>
      <c r="M54" s="129" t="str">
        <f ca="1">IFERROR(__xludf.DUMMYFUNCTION("""COMPUTED_VALUE"""),"11/12/2025 NOON")</f>
        <v>11/12/2025 NOON</v>
      </c>
    </row>
    <row r="55" spans="1:13" ht="18.75" hidden="1">
      <c r="A55" s="129"/>
      <c r="B55" s="129"/>
      <c r="C55" s="132"/>
      <c r="D55" s="129"/>
      <c r="E55" s="129"/>
      <c r="F55" s="129"/>
      <c r="G55" s="129"/>
      <c r="H55" s="129"/>
      <c r="I55" s="162"/>
      <c r="J55" s="162"/>
      <c r="K55" s="162"/>
      <c r="L55" s="129"/>
      <c r="M55" s="129"/>
    </row>
    <row r="56" spans="1:13" ht="18.75" hidden="1">
      <c r="A56" s="129"/>
      <c r="B56" s="129"/>
      <c r="C56" s="132"/>
      <c r="D56" s="129"/>
      <c r="E56" s="129"/>
      <c r="F56" s="129"/>
      <c r="G56" s="129"/>
      <c r="H56" s="129"/>
      <c r="I56" s="162"/>
      <c r="J56" s="162"/>
      <c r="K56" s="162"/>
      <c r="L56" s="129"/>
      <c r="M56" s="129"/>
    </row>
    <row r="57" spans="1:13" ht="18.75" hidden="1">
      <c r="A57" s="129"/>
      <c r="B57" s="129"/>
      <c r="C57" s="132"/>
      <c r="D57" s="129"/>
      <c r="E57" s="129"/>
      <c r="F57" s="129"/>
      <c r="G57" s="129"/>
      <c r="H57" s="129"/>
      <c r="I57" s="162"/>
      <c r="J57" s="162"/>
      <c r="K57" s="162"/>
      <c r="L57" s="129"/>
      <c r="M57" s="129"/>
    </row>
    <row r="58" spans="1:13" ht="18.75" hidden="1">
      <c r="A58" s="129"/>
      <c r="B58" s="129"/>
      <c r="C58" s="132"/>
      <c r="D58" s="129"/>
      <c r="E58" s="129"/>
      <c r="F58" s="129"/>
      <c r="G58" s="129"/>
      <c r="H58" s="129"/>
      <c r="I58" s="162"/>
      <c r="J58" s="162"/>
      <c r="K58" s="162"/>
      <c r="L58" s="129"/>
      <c r="M58" s="129"/>
    </row>
    <row r="59" spans="1:13" ht="18.75" hidden="1">
      <c r="A59" s="129"/>
      <c r="B59" s="129"/>
      <c r="C59" s="132"/>
      <c r="D59" s="129"/>
      <c r="E59" s="129"/>
      <c r="F59" s="129"/>
      <c r="G59" s="129"/>
      <c r="H59" s="129"/>
      <c r="I59" s="162"/>
      <c r="J59" s="162"/>
      <c r="K59" s="162"/>
      <c r="L59" s="129"/>
      <c r="M59" s="129"/>
    </row>
    <row r="60" spans="1:13" ht="18.75" hidden="1">
      <c r="A60" s="129"/>
      <c r="B60" s="129" t="str">
        <f ca="1">IFERROR(__xludf.DUMMYFUNCTION("""COMPUTED_VALUE"""),"WEEK 49/2025")</f>
        <v>WEEK 49/2025</v>
      </c>
      <c r="C60" s="132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60" s="129"/>
      <c r="E60" s="129"/>
      <c r="F60" s="129"/>
      <c r="G60" s="129"/>
      <c r="H60" s="129"/>
      <c r="I60" s="162"/>
      <c r="J60" s="162"/>
      <c r="K60" s="162"/>
      <c r="L60" s="129"/>
      <c r="M60" s="129"/>
    </row>
    <row r="61" spans="1:13" ht="18.75" hidden="1">
      <c r="A61" s="129"/>
      <c r="B61" s="178"/>
      <c r="C61" s="132" t="str">
        <f ca="1">IFERROR(__xludf.DUMMYFUNCTION("""COMPUTED_VALUE"""),"HOLIDAYS 05 DEC2025 National Father's Day")</f>
        <v>HOLIDAYS 05 DEC2025 National Father's Day</v>
      </c>
      <c r="D61" s="129"/>
      <c r="E61" s="129"/>
      <c r="F61" s="129"/>
      <c r="G61" s="129"/>
      <c r="H61" s="129"/>
      <c r="I61" s="162"/>
      <c r="J61" s="162"/>
      <c r="K61" s="162"/>
      <c r="L61" s="129"/>
      <c r="M61" s="129"/>
    </row>
    <row r="62" spans="1:13" ht="18.75" hidden="1">
      <c r="A62" s="129" t="str">
        <f ca="1">IFERROR(__xludf.DUMMYFUNCTION("""COMPUTED_VALUE"""),"SERVICE")</f>
        <v>SERVICE</v>
      </c>
      <c r="B62" s="178" t="str">
        <f ca="1">IFERROR(__xludf.DUMMYFUNCTION("""COMPUTED_VALUE"""),"VESSEL NAME")</f>
        <v>VESSEL NAME</v>
      </c>
      <c r="C62" s="132" t="str">
        <f ca="1">IFERROR(__xludf.DUMMYFUNCTION("""COMPUTED_VALUE"""),"PORT")</f>
        <v>PORT</v>
      </c>
      <c r="D62" s="129" t="str">
        <f ca="1">IFERROR(__xludf.DUMMYFUNCTION("""COMPUTED_VALUE"""),"PERFOMA ETD")</f>
        <v>PERFOMA ETD</v>
      </c>
      <c r="E62" s="129" t="str">
        <f ca="1">IFERROR(__xludf.DUMMYFUNCTION("""COMPUTED_VALUE"""),"EX.RATE/DATE/")</f>
        <v>EX.RATE/DATE/</v>
      </c>
      <c r="F62" s="129" t="str">
        <f ca="1">IFERROR(__xludf.DUMMYFUNCTION("""COMPUTED_VALUE"""),"SI CUT OFF USA,MX")</f>
        <v>SI CUT OFF USA,MX</v>
      </c>
      <c r="G62" s="129" t="str">
        <f ca="1">IFERROR(__xludf.DUMMYFUNCTION("""COMPUTED_VALUE"""),"SI CUT OFF")</f>
        <v>SI CUT OFF</v>
      </c>
      <c r="H62" s="129" t="str">
        <f ca="1">IFERROR(__xludf.DUMMYFUNCTION("""COMPUTED_VALUE"""),"B/L CFM USA,MX")</f>
        <v>B/L CFM USA,MX</v>
      </c>
      <c r="I62" s="162" t="str">
        <f ca="1">IFERROR(__xludf.DUMMYFUNCTION("""COMPUTED_VALUE"""),"B/L CFM CHINA,JP,VN")</f>
        <v>B/L CFM CHINA,JP,VN</v>
      </c>
      <c r="J62" s="162" t="str">
        <f ca="1">IFERROR(__xludf.DUMMYFUNCTION("""COMPUTED_VALUE"""),"B/L CONFIRM")</f>
        <v>B/L CONFIRM</v>
      </c>
      <c r="K62" s="162" t="str">
        <f ca="1">IFERROR(__xludf.DUMMYFUNCTION("""COMPUTED_VALUE"""),"ETD")</f>
        <v>ETD</v>
      </c>
      <c r="L62" s="129" t="str">
        <f ca="1">IFERROR(__xludf.DUMMYFUNCTION("""COMPUTED_VALUE"""),"ATD")</f>
        <v>ATD</v>
      </c>
      <c r="M62" s="129" t="str">
        <f ca="1">IFERROR(__xludf.DUMMYFUNCTION("""COMPUTED_VALUE"""),"B/L ISSUED DATE")</f>
        <v>B/L ISSUED DATE</v>
      </c>
    </row>
    <row r="63" spans="1:13" ht="18.75" hidden="1">
      <c r="A63" s="75"/>
      <c r="B63" s="75"/>
      <c r="C63" s="78"/>
      <c r="D63" s="83"/>
      <c r="E63" s="75" t="str">
        <f ca="1">IFERROR(__xludf.DUMMYFUNCTION("""COMPUTED_VALUE"""),"BANGKOK BANK")</f>
        <v>BANGKOK BANK</v>
      </c>
      <c r="F63" s="75" t="str">
        <f ca="1">IFERROR(__xludf.DUMMYFUNCTION("""COMPUTED_VALUE"""),"4 days before ETD")</f>
        <v>4 days before ETD</v>
      </c>
      <c r="G63" s="75"/>
      <c r="H63" s="75" t="str">
        <f ca="1">IFERROR(__xludf.DUMMYFUNCTION("""COMPUTED_VALUE"""),"3 days before ETD")</f>
        <v>3 days before ETD</v>
      </c>
      <c r="I63" s="83" t="str">
        <f ca="1">IFERROR(__xludf.DUMMYFUNCTION("""COMPUTED_VALUE"""),"Direct port CUT OFF")</f>
        <v>Direct port CUT OFF</v>
      </c>
      <c r="J63" s="83" t="str">
        <f ca="1">IFERROR(__xludf.DUMMYFUNCTION("""COMPUTED_VALUE"""),"Orther port CUT OFF")</f>
        <v>Orther port CUT OFF</v>
      </c>
      <c r="K63" s="75" t="str">
        <f ca="1">IFERROR(__xludf.DUMMYFUNCTION("""COMPUTED_VALUE"""),"ON BOARD DATE")</f>
        <v>ON BOARD DATE</v>
      </c>
      <c r="L63" s="75" t="str">
        <f ca="1">IFERROR(__xludf.DUMMYFUNCTION("""COMPUTED_VALUE"""),"วันเรือออกจริง")</f>
        <v>วันเรือออกจริง</v>
      </c>
      <c r="M63" s="75" t="str">
        <f ca="1">IFERROR(__xludf.DUMMYFUNCTION("""COMPUTED_VALUE"""),"วันปล่อยบีแอล")</f>
        <v>วันปล่อยบีแอล</v>
      </c>
    </row>
    <row r="64" spans="1:13" ht="18.75" hidden="1">
      <c r="A64" s="129"/>
      <c r="B64" s="129"/>
      <c r="C64" s="132"/>
      <c r="D64" s="129"/>
      <c r="E64" s="129"/>
      <c r="F64" s="129"/>
      <c r="G64" s="129" t="str">
        <f ca="1">IFERROR(__xludf.DUMMYFUNCTION("""COMPUTED_VALUE"""),"3 days before ETD")</f>
        <v>3 days before ETD</v>
      </c>
      <c r="H64" s="129"/>
      <c r="I64" s="162" t="str">
        <f ca="1">IFERROR(__xludf.DUMMYFUNCTION("""COMPUTED_VALUE"""),"2 days before ETD")</f>
        <v>2 days before ETD</v>
      </c>
      <c r="J64" s="162" t="str">
        <f ca="1">IFERROR(__xludf.DUMMYFUNCTION("""COMPUTED_VALUE"""),"1 days before ETD")</f>
        <v>1 days before ETD</v>
      </c>
      <c r="K64" s="162" t="str">
        <f ca="1">IFERROR(__xludf.DUMMYFUNCTION("""COMPUTED_VALUE"""),"SHOW ON B/L")</f>
        <v>SHOW ON B/L</v>
      </c>
      <c r="L64" s="129"/>
      <c r="M64" s="129"/>
    </row>
    <row r="65" spans="1:13" ht="18.75" hidden="1">
      <c r="A65" s="166" t="str">
        <f ca="1">IFERROR(__xludf.DUMMYFUNCTION("""COMPUTED_VALUE"""),"TRX")</f>
        <v>TRX</v>
      </c>
      <c r="B65" s="166" t="str">
        <f ca="1">IFERROR(__xludf.DUMMYFUNCTION("""COMPUTED_VALUE"""),"JARU BHUM V.159N")</f>
        <v>JARU BHUM V.159N</v>
      </c>
      <c r="C65" s="204" t="str">
        <f ca="1">IFERROR(__xludf.DUMMYFUNCTION("""COMPUTED_VALUE"""),"THBKK")</f>
        <v>THBKK</v>
      </c>
      <c r="D65" s="166" t="str">
        <f ca="1">IFERROR(__xludf.DUMMYFUNCTION("""COMPUTED_VALUE"""),"29/11/2025 21:00")</f>
        <v>29/11/2025 21:00</v>
      </c>
      <c r="E65" s="166" t="str">
        <f ca="1">IFERROR(__xludf.DUMMYFUNCTION("""COMPUTED_VALUE"""),"32.51 26/11/2025")</f>
        <v>32.51 26/11/2025</v>
      </c>
      <c r="F65" s="166">
        <f ca="1">IFERROR(__xludf.DUMMYFUNCTION("""COMPUTED_VALUE"""),45669.625)</f>
        <v>45669.625</v>
      </c>
      <c r="G65" s="166">
        <f ca="1">IFERROR(__xludf.DUMMYFUNCTION("""COMPUTED_VALUE"""),45700.625)</f>
        <v>45700.625</v>
      </c>
      <c r="H65" s="166">
        <f ca="1">IFERROR(__xludf.DUMMYFUNCTION("""COMPUTED_VALUE"""),45700.625)</f>
        <v>45700.625</v>
      </c>
      <c r="I65" s="187">
        <f ca="1">IFERROR(__xludf.DUMMYFUNCTION("""COMPUTED_VALUE"""),45728.625)</f>
        <v>45728.625</v>
      </c>
      <c r="J65" s="187">
        <f ca="1">IFERROR(__xludf.DUMMYFUNCTION("""COMPUTED_VALUE"""),45759.6666666666)</f>
        <v>45759.666666666599</v>
      </c>
      <c r="K65" s="187">
        <f ca="1">IFERROR(__xludf.DUMMYFUNCTION("""COMPUTED_VALUE"""),45789.0416666666)</f>
        <v>45789.041666666599</v>
      </c>
      <c r="L65" s="166">
        <f ca="1">IFERROR(__xludf.DUMMYFUNCTION("""COMPUTED_VALUE"""),45789.0416666666)</f>
        <v>45789.041666666599</v>
      </c>
      <c r="M65" s="129" t="str">
        <f ca="1">IFERROR(__xludf.DUMMYFUNCTION("""COMPUTED_VALUE"""),"08/12/2025 MORNING")</f>
        <v>08/12/2025 MORNING</v>
      </c>
    </row>
    <row r="66" spans="1:13" ht="18.75" hidden="1">
      <c r="A66" s="129"/>
      <c r="B66" s="129"/>
      <c r="C66" s="204" t="str">
        <f ca="1">IFERROR(__xludf.DUMMYFUNCTION("""COMPUTED_VALUE"""),"THLCB")</f>
        <v>THLCB</v>
      </c>
      <c r="D66" s="166">
        <f ca="1">IFERROR(__xludf.DUMMYFUNCTION("""COMPUTED_VALUE"""),45669.375)</f>
        <v>45669.375</v>
      </c>
      <c r="E66" s="129"/>
      <c r="F66" s="166">
        <f ca="1">IFERROR(__xludf.DUMMYFUNCTION("""COMPUTED_VALUE"""),45669.625)</f>
        <v>45669.625</v>
      </c>
      <c r="G66" s="166">
        <f ca="1">IFERROR(__xludf.DUMMYFUNCTION("""COMPUTED_VALUE"""),45700.625)</f>
        <v>45700.625</v>
      </c>
      <c r="H66" s="166">
        <f ca="1">IFERROR(__xludf.DUMMYFUNCTION("""COMPUTED_VALUE"""),45700.625)</f>
        <v>45700.625</v>
      </c>
      <c r="I66" s="187">
        <f ca="1">IFERROR(__xludf.DUMMYFUNCTION("""COMPUTED_VALUE"""),45728.625)</f>
        <v>45728.625</v>
      </c>
      <c r="J66" s="187">
        <f ca="1">IFERROR(__xludf.DUMMYFUNCTION("""COMPUTED_VALUE"""),45759.6666666666)</f>
        <v>45759.666666666599</v>
      </c>
      <c r="K66" s="187">
        <f ca="1">IFERROR(__xludf.DUMMYFUNCTION("""COMPUTED_VALUE"""),45789.7916666666)</f>
        <v>45789.791666666599</v>
      </c>
      <c r="L66" s="166">
        <f ca="1">IFERROR(__xludf.DUMMYFUNCTION("""COMPUTED_VALUE"""),45820.1666666666)</f>
        <v>45820.166666666599</v>
      </c>
      <c r="M66" s="129" t="str">
        <f ca="1">IFERROR(__xludf.DUMMYFUNCTION("""COMPUTED_VALUE"""),"08/12/2025 MORNING")</f>
        <v>08/12/2025 MORNING</v>
      </c>
    </row>
    <row r="67" spans="1:13" ht="18.75" hidden="1">
      <c r="A67" s="166" t="str">
        <f ca="1">IFERROR(__xludf.DUMMYFUNCTION("""COMPUTED_VALUE"""),"CVT")</f>
        <v>CVT</v>
      </c>
      <c r="B67" s="166" t="str">
        <f ca="1">IFERROR(__xludf.DUMMYFUNCTION("""COMPUTED_VALUE"""),"AVIOS V.2516N")</f>
        <v>AVIOS V.2516N</v>
      </c>
      <c r="C67" s="204" t="str">
        <f ca="1">IFERROR(__xludf.DUMMYFUNCTION("""COMPUTED_VALUE"""),"THBKK")</f>
        <v>THBKK</v>
      </c>
      <c r="D67" s="166" t="str">
        <f ca="1">IFERROR(__xludf.DUMMYFUNCTION("""COMPUTED_VALUE"""),"20/11/2025 08:00")</f>
        <v>20/11/2025 08:00</v>
      </c>
      <c r="E67" s="166" t="str">
        <f ca="1">IFERROR(__xludf.DUMMYFUNCTION("""COMPUTED_VALUE"""),"32.57 25/11/2025")</f>
        <v>32.57 25/11/2025</v>
      </c>
      <c r="F67" s="129" t="str">
        <f ca="1">IFERROR(__xludf.DUMMYFUNCTION("""COMPUTED_VALUE"""),"26/11/2025 15:00")</f>
        <v>26/11/2025 15:00</v>
      </c>
      <c r="G67" s="129" t="str">
        <f ca="1">IFERROR(__xludf.DUMMYFUNCTION("""COMPUTED_VALUE"""),"27/11/2025 15:00")</f>
        <v>27/11/2025 15:00</v>
      </c>
      <c r="H67" s="129" t="str">
        <f ca="1">IFERROR(__xludf.DUMMYFUNCTION("""COMPUTED_VALUE"""),"27/11/2025 15:00")</f>
        <v>27/11/2025 15:00</v>
      </c>
      <c r="I67" s="162" t="str">
        <f ca="1">IFERROR(__xludf.DUMMYFUNCTION("""COMPUTED_VALUE"""),"28/11/2025 15:00")</f>
        <v>28/11/2025 15:00</v>
      </c>
      <c r="J67" s="162" t="str">
        <f ca="1">IFERROR(__xludf.DUMMYFUNCTION("""COMPUTED_VALUE"""),"28/11/2025 16:00")</f>
        <v>28/11/2025 16:00</v>
      </c>
      <c r="K67" s="187">
        <f ca="1">IFERROR(__xludf.DUMMYFUNCTION("""COMPUTED_VALUE"""),45669.3333333333)</f>
        <v>45669.333333333299</v>
      </c>
      <c r="L67" s="166">
        <f ca="1">IFERROR(__xludf.DUMMYFUNCTION("""COMPUTED_VALUE"""),45669.3333333333)</f>
        <v>45669.333333333299</v>
      </c>
      <c r="M67" s="129" t="str">
        <f ca="1">IFERROR(__xludf.DUMMYFUNCTION("""COMPUTED_VALUE"""),"01/12/2025 NOON")</f>
        <v>01/12/2025 NOON</v>
      </c>
    </row>
    <row r="68" spans="1:13" ht="18.75" hidden="1">
      <c r="A68" s="129"/>
      <c r="B68" s="129"/>
      <c r="C68" s="204" t="str">
        <f ca="1">IFERROR(__xludf.DUMMYFUNCTION("""COMPUTED_VALUE"""),"THLCB")</f>
        <v>THLCB</v>
      </c>
      <c r="D68" s="166" t="str">
        <f ca="1">IFERROR(__xludf.DUMMYFUNCTION("""COMPUTED_VALUE"""),"21/11/2025 04:00")</f>
        <v>21/11/2025 04:00</v>
      </c>
      <c r="E68" s="129"/>
      <c r="F68" s="166">
        <f ca="1">IFERROR(__xludf.DUMMYFUNCTION("""COMPUTED_VALUE"""),45669.625)</f>
        <v>45669.625</v>
      </c>
      <c r="G68" s="166">
        <f ca="1">IFERROR(__xludf.DUMMYFUNCTION("""COMPUTED_VALUE"""),45669.625)</f>
        <v>45669.625</v>
      </c>
      <c r="H68" s="166">
        <f ca="1">IFERROR(__xludf.DUMMYFUNCTION("""COMPUTED_VALUE"""),45669.625)</f>
        <v>45669.625</v>
      </c>
      <c r="I68" s="187">
        <f ca="1">IFERROR(__xludf.DUMMYFUNCTION("""COMPUTED_VALUE"""),45669.625)</f>
        <v>45669.625</v>
      </c>
      <c r="J68" s="187">
        <f ca="1">IFERROR(__xludf.DUMMYFUNCTION("""COMPUTED_VALUE"""),45669.6666666666)</f>
        <v>45669.666666666599</v>
      </c>
      <c r="K68" s="187">
        <f ca="1">IFERROR(__xludf.DUMMYFUNCTION("""COMPUTED_VALUE"""),45700.0416666666)</f>
        <v>45700.041666666599</v>
      </c>
      <c r="L68" s="166">
        <f ca="1">IFERROR(__xludf.DUMMYFUNCTION("""COMPUTED_VALUE"""),45700.0416666666)</f>
        <v>45700.041666666599</v>
      </c>
      <c r="M68" s="129" t="str">
        <f ca="1">IFERROR(__xludf.DUMMYFUNCTION("""COMPUTED_VALUE"""),"02/12/2025 NOON")</f>
        <v>02/12/2025 NOON</v>
      </c>
    </row>
    <row r="69" spans="1:13" ht="18.75" hidden="1">
      <c r="A69" s="166" t="str">
        <f ca="1">IFERROR(__xludf.DUMMYFUNCTION("""COMPUTED_VALUE"""),"CVT")</f>
        <v>CVT</v>
      </c>
      <c r="B69" s="166" t="str">
        <f ca="1">IFERROR(__xludf.DUMMYFUNCTION("""COMPUTED_VALUE"""),"TS OSAKA V.25021N")</f>
        <v>TS OSAKA V.25021N</v>
      </c>
      <c r="C69" s="204" t="str">
        <f ca="1">IFERROR(__xludf.DUMMYFUNCTION("""COMPUTED_VALUE"""),"THBKK")</f>
        <v>THBKK</v>
      </c>
      <c r="D69" s="166" t="str">
        <f ca="1">IFERROR(__xludf.DUMMYFUNCTION("""COMPUTED_VALUE"""),"27/11/2025 08:00")</f>
        <v>27/11/2025 08:00</v>
      </c>
      <c r="E69" s="166" t="str">
        <f ca="1">IFERROR(__xludf.DUMMYFUNCTION("""COMPUTED_VALUE"""),"32.47 27/11/2025")</f>
        <v>32.47 27/11/2025</v>
      </c>
      <c r="F69" s="166">
        <f ca="1">IFERROR(__xludf.DUMMYFUNCTION("""COMPUTED_VALUE"""),45669.625)</f>
        <v>45669.625</v>
      </c>
      <c r="G69" s="166">
        <f ca="1">IFERROR(__xludf.DUMMYFUNCTION("""COMPUTED_VALUE"""),45700.625)</f>
        <v>45700.625</v>
      </c>
      <c r="H69" s="166">
        <f ca="1">IFERROR(__xludf.DUMMYFUNCTION("""COMPUTED_VALUE"""),45700.625)</f>
        <v>45700.625</v>
      </c>
      <c r="I69" s="187">
        <f ca="1">IFERROR(__xludf.DUMMYFUNCTION("""COMPUTED_VALUE"""),45728.625)</f>
        <v>45728.625</v>
      </c>
      <c r="J69" s="187">
        <f ca="1">IFERROR(__xludf.DUMMYFUNCTION("""COMPUTED_VALUE"""),45759.6666666666)</f>
        <v>45759.666666666599</v>
      </c>
      <c r="K69" s="187">
        <f ca="1">IFERROR(__xludf.DUMMYFUNCTION("""COMPUTED_VALUE"""),45789.1666666666)</f>
        <v>45789.166666666599</v>
      </c>
      <c r="L69" s="166">
        <f ca="1">IFERROR(__xludf.DUMMYFUNCTION("""COMPUTED_VALUE"""),45789.125)</f>
        <v>45789.125</v>
      </c>
      <c r="M69" s="129" t="str">
        <f ca="1">IFERROR(__xludf.DUMMYFUNCTION("""COMPUTED_VALUE"""),"08/12/2025 MORNING")</f>
        <v>08/12/2025 MORNING</v>
      </c>
    </row>
    <row r="70" spans="1:13" ht="18.75" hidden="1">
      <c r="A70" s="129"/>
      <c r="B70" s="129"/>
      <c r="C70" s="204" t="str">
        <f ca="1">IFERROR(__xludf.DUMMYFUNCTION("""COMPUTED_VALUE"""),"THLCB")</f>
        <v>THLCB</v>
      </c>
      <c r="D70" s="166" t="str">
        <f ca="1">IFERROR(__xludf.DUMMYFUNCTION("""COMPUTED_VALUE"""),"28/11/2025 04:00")</f>
        <v>28/11/2025 04:00</v>
      </c>
      <c r="E70" s="129"/>
      <c r="F70" s="166">
        <f ca="1">IFERROR(__xludf.DUMMYFUNCTION("""COMPUTED_VALUE"""),45700.625)</f>
        <v>45700.625</v>
      </c>
      <c r="G70" s="166">
        <f ca="1">IFERROR(__xludf.DUMMYFUNCTION("""COMPUTED_VALUE"""),45728.625)</f>
        <v>45728.625</v>
      </c>
      <c r="H70" s="166">
        <f ca="1">IFERROR(__xludf.DUMMYFUNCTION("""COMPUTED_VALUE"""),45728.625)</f>
        <v>45728.625</v>
      </c>
      <c r="I70" s="187">
        <f ca="1">IFERROR(__xludf.DUMMYFUNCTION("""COMPUTED_VALUE"""),45759.625)</f>
        <v>45759.625</v>
      </c>
      <c r="J70" s="187">
        <f ca="1">IFERROR(__xludf.DUMMYFUNCTION("""COMPUTED_VALUE"""),45789.6666666666)</f>
        <v>45789.666666666599</v>
      </c>
      <c r="K70" s="187">
        <f ca="1">IFERROR(__xludf.DUMMYFUNCTION("""COMPUTED_VALUE"""),45820.4166666666)</f>
        <v>45820.416666666599</v>
      </c>
      <c r="L70" s="166">
        <f ca="1">IFERROR(__xludf.DUMMYFUNCTION("""COMPUTED_VALUE"""),45820.5833333333)</f>
        <v>45820.583333333299</v>
      </c>
      <c r="M70" s="129" t="str">
        <f ca="1">IFERROR(__xludf.DUMMYFUNCTION("""COMPUTED_VALUE"""),"08/12/2025 MORNING")</f>
        <v>08/12/2025 MORNING</v>
      </c>
    </row>
    <row r="71" spans="1:13" ht="18.75" hidden="1">
      <c r="A71" s="129"/>
      <c r="B71" s="178"/>
      <c r="C71" s="132"/>
      <c r="D71" s="129"/>
      <c r="E71" s="129"/>
      <c r="F71" s="129"/>
      <c r="G71" s="129"/>
      <c r="H71" s="129"/>
      <c r="I71" s="162"/>
      <c r="J71" s="162"/>
      <c r="K71" s="162"/>
      <c r="L71" s="129"/>
      <c r="M71" s="129"/>
    </row>
    <row r="72" spans="1:13" ht="18.75" hidden="1">
      <c r="A72" s="129"/>
      <c r="B72" s="129" t="str">
        <f ca="1">IFERROR(__xludf.DUMMYFUNCTION("""COMPUTED_VALUE"""),"WEEK 48/2025")</f>
        <v>WEEK 48/2025</v>
      </c>
      <c r="C72" s="132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72" s="129"/>
      <c r="E72" s="129"/>
      <c r="F72" s="129"/>
      <c r="G72" s="129"/>
      <c r="H72" s="129"/>
      <c r="I72" s="162"/>
      <c r="J72" s="162"/>
      <c r="K72" s="162"/>
      <c r="L72" s="129"/>
      <c r="M72" s="129"/>
    </row>
    <row r="73" spans="1:13" ht="18.75" hidden="1">
      <c r="A73" s="129"/>
      <c r="B73" s="129"/>
      <c r="C73" s="132"/>
      <c r="D73" s="129"/>
      <c r="E73" s="129"/>
      <c r="F73" s="129"/>
      <c r="G73" s="129"/>
      <c r="H73" s="129"/>
      <c r="I73" s="162"/>
      <c r="J73" s="162"/>
      <c r="K73" s="162"/>
      <c r="L73" s="129"/>
      <c r="M73" s="129"/>
    </row>
    <row r="74" spans="1:13" ht="18.75" hidden="1">
      <c r="A74" s="75" t="str">
        <f ca="1">IFERROR(__xludf.DUMMYFUNCTION("""COMPUTED_VALUE"""),"SERVICE")</f>
        <v>SERVICE</v>
      </c>
      <c r="B74" s="75" t="str">
        <f ca="1">IFERROR(__xludf.DUMMYFUNCTION("""COMPUTED_VALUE"""),"VESSEL NAME")</f>
        <v>VESSEL NAME</v>
      </c>
      <c r="C74" s="78" t="str">
        <f ca="1">IFERROR(__xludf.DUMMYFUNCTION("""COMPUTED_VALUE"""),"PORT")</f>
        <v>PORT</v>
      </c>
      <c r="D74" s="83" t="str">
        <f ca="1">IFERROR(__xludf.DUMMYFUNCTION("""COMPUTED_VALUE"""),"PERFOMA ETD")</f>
        <v>PERFOMA ETD</v>
      </c>
      <c r="E74" s="75" t="str">
        <f ca="1">IFERROR(__xludf.DUMMYFUNCTION("""COMPUTED_VALUE"""),"EX.RATE/DATE/")</f>
        <v>EX.RATE/DATE/</v>
      </c>
      <c r="F74" s="75" t="str">
        <f ca="1">IFERROR(__xludf.DUMMYFUNCTION("""COMPUTED_VALUE"""),"SI CUT OFF USA,MX")</f>
        <v>SI CUT OFF USA,MX</v>
      </c>
      <c r="G74" s="75" t="str">
        <f ca="1">IFERROR(__xludf.DUMMYFUNCTION("""COMPUTED_VALUE"""),"SI CUT OFF")</f>
        <v>SI CUT OFF</v>
      </c>
      <c r="H74" s="75" t="str">
        <f ca="1">IFERROR(__xludf.DUMMYFUNCTION("""COMPUTED_VALUE"""),"B/L CFM USA,MX")</f>
        <v>B/L CFM USA,MX</v>
      </c>
      <c r="I74" s="83" t="str">
        <f ca="1">IFERROR(__xludf.DUMMYFUNCTION("""COMPUTED_VALUE"""),"B/L CFM CHINA,JP,VN")</f>
        <v>B/L CFM CHINA,JP,VN</v>
      </c>
      <c r="J74" s="83" t="str">
        <f ca="1">IFERROR(__xludf.DUMMYFUNCTION("""COMPUTED_VALUE"""),"B/L CONFIRM")</f>
        <v>B/L CONFIRM</v>
      </c>
      <c r="K74" s="75" t="str">
        <f ca="1">IFERROR(__xludf.DUMMYFUNCTION("""COMPUTED_VALUE"""),"ETD")</f>
        <v>ETD</v>
      </c>
      <c r="L74" s="75" t="str">
        <f ca="1">IFERROR(__xludf.DUMMYFUNCTION("""COMPUTED_VALUE"""),"ATD")</f>
        <v>ATD</v>
      </c>
      <c r="M74" s="75" t="str">
        <f ca="1">IFERROR(__xludf.DUMMYFUNCTION("""COMPUTED_VALUE"""),"B/L ISSUED DATE")</f>
        <v>B/L ISSUED DATE</v>
      </c>
    </row>
    <row r="75" spans="1:13" ht="18.75" hidden="1">
      <c r="A75" s="129"/>
      <c r="B75" s="129"/>
      <c r="C75" s="132"/>
      <c r="D75" s="129"/>
      <c r="E75" s="129" t="str">
        <f ca="1">IFERROR(__xludf.DUMMYFUNCTION("""COMPUTED_VALUE"""),"BANGKOK BANK")</f>
        <v>BANGKOK BANK</v>
      </c>
      <c r="F75" s="129" t="str">
        <f ca="1">IFERROR(__xludf.DUMMYFUNCTION("""COMPUTED_VALUE"""),"4 days before ETD")</f>
        <v>4 days before ETD</v>
      </c>
      <c r="G75" s="129"/>
      <c r="H75" s="129" t="str">
        <f ca="1">IFERROR(__xludf.DUMMYFUNCTION("""COMPUTED_VALUE"""),"3 days before ETD")</f>
        <v>3 days before ETD</v>
      </c>
      <c r="I75" s="162" t="str">
        <f ca="1">IFERROR(__xludf.DUMMYFUNCTION("""COMPUTED_VALUE"""),"Direct port CUT OFF")</f>
        <v>Direct port CUT OFF</v>
      </c>
      <c r="J75" s="162" t="str">
        <f ca="1">IFERROR(__xludf.DUMMYFUNCTION("""COMPUTED_VALUE"""),"Orther port CUT OFF")</f>
        <v>Orther port CUT OFF</v>
      </c>
      <c r="K75" s="162" t="str">
        <f ca="1">IFERROR(__xludf.DUMMYFUNCTION("""COMPUTED_VALUE"""),"ON BOARD DATE")</f>
        <v>ON BOARD DATE</v>
      </c>
      <c r="L75" s="129" t="str">
        <f ca="1">IFERROR(__xludf.DUMMYFUNCTION("""COMPUTED_VALUE"""),"วันเรือออกจริง")</f>
        <v>วันเรือออกจริง</v>
      </c>
      <c r="M75" s="129" t="str">
        <f ca="1">IFERROR(__xludf.DUMMYFUNCTION("""COMPUTED_VALUE"""),"วันปล่อยบีแอล")</f>
        <v>วันปล่อยบีแอล</v>
      </c>
    </row>
    <row r="76" spans="1:13" ht="18.75" hidden="1">
      <c r="A76" s="129"/>
      <c r="B76" s="129"/>
      <c r="C76" s="132"/>
      <c r="D76" s="129"/>
      <c r="E76" s="129"/>
      <c r="F76" s="129"/>
      <c r="G76" s="129" t="str">
        <f ca="1">IFERROR(__xludf.DUMMYFUNCTION("""COMPUTED_VALUE"""),"3 days before ETD")</f>
        <v>3 days before ETD</v>
      </c>
      <c r="H76" s="129"/>
      <c r="I76" s="162" t="str">
        <f ca="1">IFERROR(__xludf.DUMMYFUNCTION("""COMPUTED_VALUE"""),"2 days before ETD")</f>
        <v>2 days before ETD</v>
      </c>
      <c r="J76" s="162" t="str">
        <f ca="1">IFERROR(__xludf.DUMMYFUNCTION("""COMPUTED_VALUE"""),"1 days before ETD")</f>
        <v>1 days before ETD</v>
      </c>
      <c r="K76" s="162" t="str">
        <f ca="1">IFERROR(__xludf.DUMMYFUNCTION("""COMPUTED_VALUE"""),"SHOW ON B/L")</f>
        <v>SHOW ON B/L</v>
      </c>
      <c r="L76" s="129"/>
      <c r="M76" s="129"/>
    </row>
    <row r="77" spans="1:13" ht="18.75" hidden="1">
      <c r="A77" s="129" t="str">
        <f ca="1">IFERROR(__xludf.DUMMYFUNCTION("""COMPUTED_VALUE"""),"CHT")</f>
        <v>CHT</v>
      </c>
      <c r="B77" s="129" t="str">
        <f ca="1">IFERROR(__xludf.DUMMYFUNCTION("""COMPUTED_VALUE"""),"TS TIANJIN V.25012N")</f>
        <v>TS TIANJIN V.25012N</v>
      </c>
      <c r="C77" s="132" t="str">
        <f ca="1">IFERROR(__xludf.DUMMYFUNCTION("""COMPUTED_VALUE"""),"THBKK")</f>
        <v>THBKK</v>
      </c>
      <c r="D77" s="221">
        <f ca="1">IFERROR(__xludf.DUMMYFUNCTION("""COMPUTED_VALUE"""),46002.3333333333)</f>
        <v>46002.333333333299</v>
      </c>
      <c r="E77" s="129" t="str">
        <f ca="1">IFERROR(__xludf.DUMMYFUNCTION("""COMPUTED_VALUE"""),"32.63 14/11/2025")</f>
        <v>32.63 14/11/2025</v>
      </c>
      <c r="F77" s="129" t="str">
        <f ca="1">IFERROR(__xludf.DUMMYFUNCTION("""COMPUTED_VALUE"""),"19/11/2025 15:00")</f>
        <v>19/11/2025 15:00</v>
      </c>
      <c r="G77" s="129" t="str">
        <f ca="1">IFERROR(__xludf.DUMMYFUNCTION("""COMPUTED_VALUE"""),"20/11/2025 15:00")</f>
        <v>20/11/2025 15:00</v>
      </c>
      <c r="H77" s="129" t="str">
        <f ca="1">IFERROR(__xludf.DUMMYFUNCTION("""COMPUTED_VALUE"""),"20/11/2025 15:00")</f>
        <v>20/11/2025 15:00</v>
      </c>
      <c r="I77" s="162" t="str">
        <f ca="1">IFERROR(__xludf.DUMMYFUNCTION("""COMPUTED_VALUE"""),"21/11/2025 15:00")</f>
        <v>21/11/2025 15:00</v>
      </c>
      <c r="J77" s="162" t="str">
        <f ca="1">IFERROR(__xludf.DUMMYFUNCTION("""COMPUTED_VALUE"""),"21/11/2025 16:00")</f>
        <v>21/11/2025 16:00</v>
      </c>
      <c r="K77" s="162" t="str">
        <f ca="1">IFERROR(__xludf.DUMMYFUNCTION("""COMPUTED_VALUE"""),"24/11/2025 05:00")</f>
        <v>24/11/2025 05:00</v>
      </c>
      <c r="L77" s="129" t="str">
        <f ca="1">IFERROR(__xludf.DUMMYFUNCTION("""COMPUTED_VALUE"""),"24/11/2025 05:00")</f>
        <v>24/11/2025 05:00</v>
      </c>
      <c r="M77" s="129" t="str">
        <f ca="1">IFERROR(__xludf.DUMMYFUNCTION("""COMPUTED_VALUE"""),"24/11/2025 NOON")</f>
        <v>24/11/2025 NOON</v>
      </c>
    </row>
    <row r="78" spans="1:13" ht="18.75" hidden="1">
      <c r="A78" s="129"/>
      <c r="B78" s="129"/>
      <c r="C78" s="132" t="str">
        <f ca="1">IFERROR(__xludf.DUMMYFUNCTION("""COMPUTED_VALUE"""),"THLCB")</f>
        <v>THLCB</v>
      </c>
      <c r="D78" s="129" t="str">
        <f ca="1">IFERROR(__xludf.DUMMYFUNCTION("""COMPUTED_VALUE"""),"13/11/2025 04:00")</f>
        <v>13/11/2025 04:00</v>
      </c>
      <c r="E78" s="129"/>
      <c r="F78" s="129" t="str">
        <f ca="1">IFERROR(__xludf.DUMMYFUNCTION("""COMPUTED_VALUE"""),"19/11/2025 15:00")</f>
        <v>19/11/2025 15:00</v>
      </c>
      <c r="G78" s="129" t="str">
        <f ca="1">IFERROR(__xludf.DUMMYFUNCTION("""COMPUTED_VALUE"""),"20/11/2025 15:00")</f>
        <v>20/11/2025 15:00</v>
      </c>
      <c r="H78" s="129" t="str">
        <f ca="1">IFERROR(__xludf.DUMMYFUNCTION("""COMPUTED_VALUE"""),"20/11/2025 15:00")</f>
        <v>20/11/2025 15:00</v>
      </c>
      <c r="I78" s="162" t="str">
        <f ca="1">IFERROR(__xludf.DUMMYFUNCTION("""COMPUTED_VALUE"""),"21/11/2025 15:00")</f>
        <v>21/11/2025 15:00</v>
      </c>
      <c r="J78" s="162" t="str">
        <f ca="1">IFERROR(__xludf.DUMMYFUNCTION("""COMPUTED_VALUE"""),"21/11/2025 16:00")</f>
        <v>21/11/2025 16:00</v>
      </c>
      <c r="K78" s="162" t="str">
        <f ca="1">IFERROR(__xludf.DUMMYFUNCTION("""COMPUTED_VALUE"""),"24/11/2025 22:00")</f>
        <v>24/11/2025 22:00</v>
      </c>
      <c r="L78" s="129" t="str">
        <f ca="1">IFERROR(__xludf.DUMMYFUNCTION("""COMPUTED_VALUE"""),"24/11/2025 22:00")</f>
        <v>24/11/2025 22:00</v>
      </c>
      <c r="M78" s="129" t="str">
        <f ca="1">IFERROR(__xludf.DUMMYFUNCTION("""COMPUTED_VALUE"""),"25/11/2025 MORNING")</f>
        <v>25/11/2025 MORNING</v>
      </c>
    </row>
    <row r="79" spans="1:13" ht="18.75" hidden="1">
      <c r="A79" s="129" t="str">
        <f ca="1">IFERROR(__xludf.DUMMYFUNCTION("""COMPUTED_VALUE"""),"CHT")</f>
        <v>CHT</v>
      </c>
      <c r="B79" s="129" t="str">
        <f ca="1">IFERROR(__xludf.DUMMYFUNCTION("""COMPUTED_VALUE"""),"KMTC TAIPEIS V.2513N")</f>
        <v>KMTC TAIPEIS V.2513N</v>
      </c>
      <c r="C79" s="132" t="str">
        <f ca="1">IFERROR(__xludf.DUMMYFUNCTION("""COMPUTED_VALUE"""),"THBKK")</f>
        <v>THBKK</v>
      </c>
      <c r="D79" s="129" t="str">
        <f ca="1">IFERROR(__xludf.DUMMYFUNCTION("""COMPUTED_VALUE"""),"19/11/2025 08:00")</f>
        <v>19/11/2025 08:00</v>
      </c>
      <c r="E79" s="129" t="str">
        <f ca="1">IFERROR(__xludf.DUMMYFUNCTION("""COMPUTED_VALUE"""),"32.72 18/11/2025")</f>
        <v>32.72 18/11/2025</v>
      </c>
      <c r="F79" s="129" t="str">
        <f ca="1">IFERROR(__xludf.DUMMYFUNCTION("""COMPUTED_VALUE"""),"24/11/2025 15:00")</f>
        <v>24/11/2025 15:00</v>
      </c>
      <c r="G79" s="129" t="str">
        <f ca="1">IFERROR(__xludf.DUMMYFUNCTION("""COMPUTED_VALUE"""),"24/11/2025 15:00")</f>
        <v>24/11/2025 15:00</v>
      </c>
      <c r="H79" s="129" t="str">
        <f ca="1">IFERROR(__xludf.DUMMYFUNCTION("""COMPUTED_VALUE"""),"24/11/2025 15:00")</f>
        <v>24/11/2025 15:00</v>
      </c>
      <c r="I79" s="162" t="str">
        <f ca="1">IFERROR(__xludf.DUMMYFUNCTION("""COMPUTED_VALUE"""),"25/11/2025 15:00")</f>
        <v>25/11/2025 15:00</v>
      </c>
      <c r="J79" s="162" t="str">
        <f ca="1">IFERROR(__xludf.DUMMYFUNCTION("""COMPUTED_VALUE"""),"25/11/2025 16:00")</f>
        <v>25/11/2025 16:00</v>
      </c>
      <c r="K79" s="162" t="str">
        <f ca="1">IFERROR(__xludf.DUMMYFUNCTION("""COMPUTED_VALUE"""),"26/11/2025 12:00")</f>
        <v>26/11/2025 12:00</v>
      </c>
      <c r="L79" s="129" t="str">
        <f ca="1">IFERROR(__xludf.DUMMYFUNCTION("""COMPUTED_VALUE"""),"26/11/2025 12:00")</f>
        <v>26/11/2025 12:00</v>
      </c>
      <c r="M79" s="129" t="str">
        <f ca="1">IFERROR(__xludf.DUMMYFUNCTION("""COMPUTED_VALUE"""),"26/11/2025 NOON")</f>
        <v>26/11/2025 NOON</v>
      </c>
    </row>
    <row r="80" spans="1:13" ht="18.75" hidden="1">
      <c r="A80" s="129"/>
      <c r="B80" s="129"/>
      <c r="C80" s="132" t="str">
        <f ca="1">IFERROR(__xludf.DUMMYFUNCTION("""COMPUTED_VALUE"""),"THLCB")</f>
        <v>THLCB</v>
      </c>
      <c r="D80" s="129" t="str">
        <f ca="1">IFERROR(__xludf.DUMMYFUNCTION("""COMPUTED_VALUE"""),"20/11/2025 04:00")</f>
        <v>20/11/2025 04:00</v>
      </c>
      <c r="E80" s="129"/>
      <c r="F80" s="129" t="str">
        <f ca="1">IFERROR(__xludf.DUMMYFUNCTION("""COMPUTED_VALUE"""),"24/11/2025 15:00")</f>
        <v>24/11/2025 15:00</v>
      </c>
      <c r="G80" s="129" t="str">
        <f ca="1">IFERROR(__xludf.DUMMYFUNCTION("""COMPUTED_VALUE"""),"25/11/2025 15:00")</f>
        <v>25/11/2025 15:00</v>
      </c>
      <c r="H80" s="129" t="str">
        <f ca="1">IFERROR(__xludf.DUMMYFUNCTION("""COMPUTED_VALUE"""),"25/11/2025 15:00")</f>
        <v>25/11/2025 15:00</v>
      </c>
      <c r="I80" s="162" t="str">
        <f ca="1">IFERROR(__xludf.DUMMYFUNCTION("""COMPUTED_VALUE"""),"26/11/2025 15:00")</f>
        <v>26/11/2025 15:00</v>
      </c>
      <c r="J80" s="162" t="str">
        <f ca="1">IFERROR(__xludf.DUMMYFUNCTION("""COMPUTED_VALUE"""),"27/11/2025 16:00")</f>
        <v>27/11/2025 16:00</v>
      </c>
      <c r="K80" s="162" t="str">
        <f ca="1">IFERROR(__xludf.DUMMYFUNCTION("""COMPUTED_VALUE"""),"28/11/2025 16:00")</f>
        <v>28/11/2025 16:00</v>
      </c>
      <c r="L80" s="129" t="str">
        <f ca="1">IFERROR(__xludf.DUMMYFUNCTION("""COMPUTED_VALUE"""),"28/11/2025 17:00")</f>
        <v>28/11/2025 17:00</v>
      </c>
      <c r="M80" s="129" t="str">
        <f ca="1">IFERROR(__xludf.DUMMYFUNCTION("""COMPUTED_VALUE"""),"01/12/2025 MORNING")</f>
        <v>01/12/2025 MORNING</v>
      </c>
    </row>
    <row r="81" spans="1:13" ht="18.75" hidden="1">
      <c r="A81" s="129" t="str">
        <f ca="1">IFERROR(__xludf.DUMMYFUNCTION("""COMPUTED_VALUE"""),"CVT")</f>
        <v>CVT</v>
      </c>
      <c r="B81" s="129" t="str">
        <f ca="1">IFERROR(__xludf.DUMMYFUNCTION("""COMPUTED_VALUE"""),"KMTC POHANG V.2514N")</f>
        <v>KMTC POHANG V.2514N</v>
      </c>
      <c r="C81" s="132" t="str">
        <f ca="1">IFERROR(__xludf.DUMMYFUNCTION("""COMPUTED_VALUE"""),"THBKK")</f>
        <v>THBKK</v>
      </c>
      <c r="D81" s="129" t="str">
        <f ca="1">IFERROR(__xludf.DUMMYFUNCTION("""COMPUTED_VALUE"""),"27/11/2025 08:00")</f>
        <v>27/11/2025 08:00</v>
      </c>
      <c r="E81" s="129" t="str">
        <f ca="1">IFERROR(__xludf.DUMMYFUNCTION("""COMPUTED_VALUE"""),"32.7 20/11/2025")</f>
        <v>32.7 20/11/2025</v>
      </c>
      <c r="F81" s="129" t="str">
        <f ca="1">IFERROR(__xludf.DUMMYFUNCTION("""COMPUTED_VALUE"""),"27/11/2025 15:00")</f>
        <v>27/11/2025 15:00</v>
      </c>
      <c r="G81" s="129" t="str">
        <f ca="1">IFERROR(__xludf.DUMMYFUNCTION("""COMPUTED_VALUE"""),"27/11/2025 15:00")</f>
        <v>27/11/2025 15:00</v>
      </c>
      <c r="H81" s="129" t="str">
        <f ca="1">IFERROR(__xludf.DUMMYFUNCTION("""COMPUTED_VALUE"""),"27/11/2025 15:00")</f>
        <v>27/11/2025 15:00</v>
      </c>
      <c r="I81" s="162" t="str">
        <f ca="1">IFERROR(__xludf.DUMMYFUNCTION("""COMPUTED_VALUE"""),"28/11/2025 16:00")</f>
        <v>28/11/2025 16:00</v>
      </c>
      <c r="J81" s="162" t="str">
        <f ca="1">IFERROR(__xludf.DUMMYFUNCTION("""COMPUTED_VALUE"""),"28/11/2025 16:00")</f>
        <v>28/11/2025 16:00</v>
      </c>
      <c r="K81" s="162" t="str">
        <f ca="1">IFERROR(__xludf.DUMMYFUNCTION("""COMPUTED_VALUE"""),"28/11/2025 17:00")</f>
        <v>28/11/2025 17:00</v>
      </c>
      <c r="L81" s="129" t="str">
        <f ca="1">IFERROR(__xludf.DUMMYFUNCTION("""COMPUTED_VALUE"""),"28/11/2025 17:00")</f>
        <v>28/11/2025 17:00</v>
      </c>
      <c r="M81" s="129" t="str">
        <f ca="1">IFERROR(__xludf.DUMMYFUNCTION("""COMPUTED_VALUE"""),"01/12/2025 MORNING")</f>
        <v>01/12/2025 MORNING</v>
      </c>
    </row>
    <row r="82" spans="1:13" ht="18.75" hidden="1">
      <c r="A82" s="129"/>
      <c r="B82" s="129"/>
      <c r="C82" s="132" t="str">
        <f ca="1">IFERROR(__xludf.DUMMYFUNCTION("""COMPUTED_VALUE"""),"THLCB")</f>
        <v>THLCB</v>
      </c>
      <c r="D82" s="129" t="str">
        <f ca="1">IFERROR(__xludf.DUMMYFUNCTION("""COMPUTED_VALUE"""),"28/11/2025 04:00")</f>
        <v>28/11/2025 04:00</v>
      </c>
      <c r="E82" s="129"/>
      <c r="F82" s="129" t="str">
        <f ca="1">IFERROR(__xludf.DUMMYFUNCTION("""COMPUTED_VALUE"""),"26/11/2025 15:00")</f>
        <v>26/11/2025 15:00</v>
      </c>
      <c r="G82" s="129" t="str">
        <f ca="1">IFERROR(__xludf.DUMMYFUNCTION("""COMPUTED_VALUE"""),"27/11/2025 15:00")</f>
        <v>27/11/2025 15:00</v>
      </c>
      <c r="H82" s="129" t="str">
        <f ca="1">IFERROR(__xludf.DUMMYFUNCTION("""COMPUTED_VALUE"""),"27/11/2025 15:00")</f>
        <v>27/11/2025 15:00</v>
      </c>
      <c r="I82" s="162" t="str">
        <f ca="1">IFERROR(__xludf.DUMMYFUNCTION("""COMPUTED_VALUE"""),"28/11/2025 16:00")</f>
        <v>28/11/2025 16:00</v>
      </c>
      <c r="J82" s="162" t="str">
        <f ca="1">IFERROR(__xludf.DUMMYFUNCTION("""COMPUTED_VALUE"""),"28/11/2025 16:00")</f>
        <v>28/11/2025 16:00</v>
      </c>
      <c r="K82" s="162" t="str">
        <f ca="1">IFERROR(__xludf.DUMMYFUNCTION("""COMPUTED_VALUE"""),"30/11/2025 01:00")</f>
        <v>30/11/2025 01:00</v>
      </c>
      <c r="L82" s="129" t="str">
        <f ca="1">IFERROR(__xludf.DUMMYFUNCTION("""COMPUTED_VALUE"""),"30/11/2025 02:00")</f>
        <v>30/11/2025 02:00</v>
      </c>
      <c r="M82" s="129" t="str">
        <f ca="1">IFERROR(__xludf.DUMMYFUNCTION("""COMPUTED_VALUE"""),"01/12/2025 MORNING")</f>
        <v>01/12/2025 MORNING</v>
      </c>
    </row>
    <row r="83" spans="1:13" ht="18.75" hidden="1">
      <c r="A83" s="129" t="str">
        <f ca="1">IFERROR(__xludf.DUMMYFUNCTION("""COMPUTED_VALUE"""),"JTX")</f>
        <v>JTX</v>
      </c>
      <c r="B83" s="129" t="str">
        <f ca="1">IFERROR(__xludf.DUMMYFUNCTION("""COMPUTED_VALUE"""),"TS NAGOYA V.25016N")</f>
        <v>TS NAGOYA V.25016N</v>
      </c>
      <c r="C83" s="132" t="str">
        <f ca="1">IFERROR(__xludf.DUMMYFUNCTION("""COMPUTED_VALUE"""),"THLCB")</f>
        <v>THLCB</v>
      </c>
      <c r="D83" s="129" t="str">
        <f ca="1">IFERROR(__xludf.DUMMYFUNCTION("""COMPUTED_VALUE"""),"14/11/2025 22:00")</f>
        <v>14/11/2025 22:00</v>
      </c>
      <c r="E83" s="129" t="str">
        <f ca="1">IFERROR(__xludf.DUMMYFUNCTION("""COMPUTED_VALUE"""),"32.72 18/11/2025")</f>
        <v>32.72 18/11/2025</v>
      </c>
      <c r="F83" s="129" t="str">
        <f ca="1">IFERROR(__xludf.DUMMYFUNCTION("""COMPUTED_VALUE"""),"24/11/2025 15:00")</f>
        <v>24/11/2025 15:00</v>
      </c>
      <c r="G83" s="129" t="str">
        <f ca="1">IFERROR(__xludf.DUMMYFUNCTION("""COMPUTED_VALUE"""),"24/11/2025 15:00")</f>
        <v>24/11/2025 15:00</v>
      </c>
      <c r="H83" s="129" t="str">
        <f ca="1">IFERROR(__xludf.DUMMYFUNCTION("""COMPUTED_VALUE"""),"24/11/2025 15:00")</f>
        <v>24/11/2025 15:00</v>
      </c>
      <c r="I83" s="162" t="str">
        <f ca="1">IFERROR(__xludf.DUMMYFUNCTION("""COMPUTED_VALUE"""),"25/11/2025 15:00")</f>
        <v>25/11/2025 15:00</v>
      </c>
      <c r="J83" s="162" t="str">
        <f ca="1">IFERROR(__xludf.DUMMYFUNCTION("""COMPUTED_VALUE"""),"26/11/2025 16:00")</f>
        <v>26/11/2025 16:00</v>
      </c>
      <c r="K83" s="162" t="str">
        <f ca="1">IFERROR(__xludf.DUMMYFUNCTION("""COMPUTED_VALUE"""),"27/11/2025 03:00")</f>
        <v>27/11/2025 03:00</v>
      </c>
      <c r="L83" s="129" t="str">
        <f ca="1">IFERROR(__xludf.DUMMYFUNCTION("""COMPUTED_VALUE"""),"27/11/2025 05:00")</f>
        <v>27/11/2025 05:00</v>
      </c>
      <c r="M83" s="129" t="str">
        <f ca="1">IFERROR(__xludf.DUMMYFUNCTION("""COMPUTED_VALUE"""),"27/11/2025 NOON")</f>
        <v>27/11/2025 NOON</v>
      </c>
    </row>
    <row r="84" spans="1:13" ht="18.75" hidden="1">
      <c r="A84" s="129" t="str">
        <f ca="1">IFERROR(__xludf.DUMMYFUNCTION("""COMPUTED_VALUE"""),"JTX")</f>
        <v>JTX</v>
      </c>
      <c r="B84" s="129" t="str">
        <f ca="1">IFERROR(__xludf.DUMMYFUNCTION("""COMPUTED_VALUE"""),"HAIAN EAST V.0QIM8N")</f>
        <v>HAIAN EAST V.0QIM8N</v>
      </c>
      <c r="C84" s="132" t="str">
        <f ca="1">IFERROR(__xludf.DUMMYFUNCTION("""COMPUTED_VALUE"""),"THLCB")</f>
        <v>THLCB</v>
      </c>
      <c r="D84" s="129" t="str">
        <f ca="1">IFERROR(__xludf.DUMMYFUNCTION("""COMPUTED_VALUE"""),"21/11/2025 22:00")</f>
        <v>21/11/2025 22:00</v>
      </c>
      <c r="E84" s="129" t="str">
        <f ca="1">IFERROR(__xludf.DUMMYFUNCTION("""COMPUTED_VALUE"""),"32.71 21/11/2025")</f>
        <v>32.71 21/11/2025</v>
      </c>
      <c r="F84" s="129" t="str">
        <f ca="1">IFERROR(__xludf.DUMMYFUNCTION("""COMPUTED_VALUE"""),"26/11/2025 15:00")</f>
        <v>26/11/2025 15:00</v>
      </c>
      <c r="G84" s="129" t="str">
        <f ca="1">IFERROR(__xludf.DUMMYFUNCTION("""COMPUTED_VALUE"""),"27/11/2025 15:00")</f>
        <v>27/11/2025 15:00</v>
      </c>
      <c r="H84" s="129" t="str">
        <f ca="1">IFERROR(__xludf.DUMMYFUNCTION("""COMPUTED_VALUE"""),"27/11/2025 15:00")</f>
        <v>27/11/2025 15:00</v>
      </c>
      <c r="I84" s="162" t="str">
        <f ca="1">IFERROR(__xludf.DUMMYFUNCTION("""COMPUTED_VALUE"""),"28/11/2025 16:00")</f>
        <v>28/11/2025 16:00</v>
      </c>
      <c r="J84" s="162" t="str">
        <f ca="1">IFERROR(__xludf.DUMMYFUNCTION("""COMPUTED_VALUE"""),"28/11/2025 16:00")</f>
        <v>28/11/2025 16:00</v>
      </c>
      <c r="K84" s="162" t="str">
        <f ca="1">IFERROR(__xludf.DUMMYFUNCTION("""COMPUTED_VALUE"""),"30/11/2025 19:00")</f>
        <v>30/11/2025 19:00</v>
      </c>
      <c r="L84" s="129" t="str">
        <f ca="1">IFERROR(__xludf.DUMMYFUNCTION("""COMPUTED_VALUE"""),"30/11/2025 16:00")</f>
        <v>30/11/2025 16:00</v>
      </c>
      <c r="M84" s="129" t="str">
        <f ca="1">IFERROR(__xludf.DUMMYFUNCTION("""COMPUTED_VALUE"""),"01/12/2025 MORNING")</f>
        <v>01/12/2025 MORNING</v>
      </c>
    </row>
    <row r="85" spans="1:13" ht="18.75" hidden="1">
      <c r="A85" s="129"/>
      <c r="B85" s="129" t="str">
        <f ca="1">IFERROR(__xludf.DUMMYFUNCTION("""COMPUTED_VALUE"""),"WEEK 47/2025")</f>
        <v>WEEK 47/2025</v>
      </c>
      <c r="C85" s="132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85" s="129"/>
      <c r="E85" s="129"/>
      <c r="F85" s="129"/>
      <c r="G85" s="129"/>
      <c r="H85" s="129"/>
      <c r="I85" s="162"/>
      <c r="J85" s="162"/>
      <c r="K85" s="162"/>
      <c r="L85" s="129"/>
      <c r="M85" s="129"/>
    </row>
    <row r="86" spans="1:13" ht="18.75" hidden="1">
      <c r="A86" s="129"/>
      <c r="B86" s="129"/>
      <c r="C86" s="132"/>
      <c r="D86" s="129"/>
      <c r="E86" s="129"/>
      <c r="F86" s="129"/>
      <c r="G86" s="129"/>
      <c r="H86" s="129"/>
      <c r="I86" s="162"/>
      <c r="J86" s="162"/>
      <c r="K86" s="162"/>
      <c r="L86" s="129"/>
      <c r="M86" s="129"/>
    </row>
    <row r="87" spans="1:13" ht="18.75" hidden="1">
      <c r="A87" s="129" t="str">
        <f ca="1">IFERROR(__xludf.DUMMYFUNCTION("""COMPUTED_VALUE"""),"SERVICE")</f>
        <v>SERVICE</v>
      </c>
      <c r="B87" s="129" t="str">
        <f ca="1">IFERROR(__xludf.DUMMYFUNCTION("""COMPUTED_VALUE"""),"VESSEL NAME")</f>
        <v>VESSEL NAME</v>
      </c>
      <c r="C87" s="132" t="str">
        <f ca="1">IFERROR(__xludf.DUMMYFUNCTION("""COMPUTED_VALUE"""),"PORT")</f>
        <v>PORT</v>
      </c>
      <c r="D87" s="129" t="str">
        <f ca="1">IFERROR(__xludf.DUMMYFUNCTION("""COMPUTED_VALUE"""),"PERFOMA ETD")</f>
        <v>PERFOMA ETD</v>
      </c>
      <c r="E87" s="129" t="str">
        <f ca="1">IFERROR(__xludf.DUMMYFUNCTION("""COMPUTED_VALUE"""),"EX.RATE/DATE/")</f>
        <v>EX.RATE/DATE/</v>
      </c>
      <c r="F87" s="129" t="str">
        <f ca="1">IFERROR(__xludf.DUMMYFUNCTION("""COMPUTED_VALUE"""),"SI CUT OFF USA,MX")</f>
        <v>SI CUT OFF USA,MX</v>
      </c>
      <c r="G87" s="129" t="str">
        <f ca="1">IFERROR(__xludf.DUMMYFUNCTION("""COMPUTED_VALUE"""),"SI CUT OFF")</f>
        <v>SI CUT OFF</v>
      </c>
      <c r="H87" s="129" t="str">
        <f ca="1">IFERROR(__xludf.DUMMYFUNCTION("""COMPUTED_VALUE"""),"B/L CFM USA,MX")</f>
        <v>B/L CFM USA,MX</v>
      </c>
      <c r="I87" s="162" t="str">
        <f ca="1">IFERROR(__xludf.DUMMYFUNCTION("""COMPUTED_VALUE"""),"B/L CFM CHINA,JP,VN")</f>
        <v>B/L CFM CHINA,JP,VN</v>
      </c>
      <c r="J87" s="162" t="str">
        <f ca="1">IFERROR(__xludf.DUMMYFUNCTION("""COMPUTED_VALUE"""),"B/L CONFIRM")</f>
        <v>B/L CONFIRM</v>
      </c>
      <c r="K87" s="162" t="str">
        <f ca="1">IFERROR(__xludf.DUMMYFUNCTION("""COMPUTED_VALUE"""),"ETD")</f>
        <v>ETD</v>
      </c>
      <c r="L87" s="129" t="str">
        <f ca="1">IFERROR(__xludf.DUMMYFUNCTION("""COMPUTED_VALUE"""),"ATD")</f>
        <v>ATD</v>
      </c>
      <c r="M87" s="129" t="str">
        <f ca="1">IFERROR(__xludf.DUMMYFUNCTION("""COMPUTED_VALUE"""),"B/L ISSUED DATE")</f>
        <v>B/L ISSUED DATE</v>
      </c>
    </row>
    <row r="88" spans="1:13" ht="18.75" hidden="1">
      <c r="A88" s="129"/>
      <c r="B88" s="178"/>
      <c r="C88" s="132"/>
      <c r="D88" s="129"/>
      <c r="E88" s="129" t="str">
        <f ca="1">IFERROR(__xludf.DUMMYFUNCTION("""COMPUTED_VALUE"""),"BANGKOK BANK")</f>
        <v>BANGKOK BANK</v>
      </c>
      <c r="F88" s="129" t="str">
        <f ca="1">IFERROR(__xludf.DUMMYFUNCTION("""COMPUTED_VALUE"""),"4 days before ETD")</f>
        <v>4 days before ETD</v>
      </c>
      <c r="G88" s="129"/>
      <c r="H88" s="129" t="str">
        <f ca="1">IFERROR(__xludf.DUMMYFUNCTION("""COMPUTED_VALUE"""),"3 days before ETD")</f>
        <v>3 days before ETD</v>
      </c>
      <c r="I88" s="162" t="str">
        <f ca="1">IFERROR(__xludf.DUMMYFUNCTION("""COMPUTED_VALUE"""),"Direct port CUT OFF")</f>
        <v>Direct port CUT OFF</v>
      </c>
      <c r="J88" s="162" t="str">
        <f ca="1">IFERROR(__xludf.DUMMYFUNCTION("""COMPUTED_VALUE"""),"Orther port CUT OFF")</f>
        <v>Orther port CUT OFF</v>
      </c>
      <c r="K88" s="162" t="str">
        <f ca="1">IFERROR(__xludf.DUMMYFUNCTION("""COMPUTED_VALUE"""),"ON BOARD DATE")</f>
        <v>ON BOARD DATE</v>
      </c>
      <c r="L88" s="129" t="str">
        <f ca="1">IFERROR(__xludf.DUMMYFUNCTION("""COMPUTED_VALUE"""),"วันเรือออกจริง")</f>
        <v>วันเรือออกจริง</v>
      </c>
      <c r="M88" s="129" t="str">
        <f ca="1">IFERROR(__xludf.DUMMYFUNCTION("""COMPUTED_VALUE"""),"วันปล่อยบีแอล")</f>
        <v>วันปล่อยบีแอล</v>
      </c>
    </row>
    <row r="89" spans="1:13" ht="18.75" hidden="1">
      <c r="A89" s="129"/>
      <c r="B89" s="129"/>
      <c r="C89" s="132"/>
      <c r="D89" s="129"/>
      <c r="E89" s="129"/>
      <c r="F89" s="129"/>
      <c r="G89" s="129" t="str">
        <f ca="1">IFERROR(__xludf.DUMMYFUNCTION("""COMPUTED_VALUE"""),"3 days before ETD")</f>
        <v>3 days before ETD</v>
      </c>
      <c r="H89" s="129"/>
      <c r="I89" s="162" t="str">
        <f ca="1">IFERROR(__xludf.DUMMYFUNCTION("""COMPUTED_VALUE"""),"2 days before ETD")</f>
        <v>2 days before ETD</v>
      </c>
      <c r="J89" s="162" t="str">
        <f ca="1">IFERROR(__xludf.DUMMYFUNCTION("""COMPUTED_VALUE"""),"1 days before ETD")</f>
        <v>1 days before ETD</v>
      </c>
      <c r="K89" s="162" t="str">
        <f ca="1">IFERROR(__xludf.DUMMYFUNCTION("""COMPUTED_VALUE"""),"SHOW ON B/L")</f>
        <v>SHOW ON B/L</v>
      </c>
      <c r="L89" s="129"/>
      <c r="M89" s="129"/>
    </row>
    <row r="90" spans="1:13" ht="18.75" hidden="1">
      <c r="A90" s="75" t="str">
        <f ca="1">IFERROR(__xludf.DUMMYFUNCTION("""COMPUTED_VALUE"""),"TRX")</f>
        <v>TRX</v>
      </c>
      <c r="B90" s="75" t="str">
        <f ca="1">IFERROR(__xludf.DUMMYFUNCTION("""COMPUTED_VALUE"""),"CHANA BHUM V.908N")</f>
        <v>CHANA BHUM V.908N</v>
      </c>
      <c r="C90" s="78" t="str">
        <f ca="1">IFERROR(__xludf.DUMMYFUNCTION("""COMPUTED_VALUE"""),"THBKK")</f>
        <v>THBKK</v>
      </c>
      <c r="D90" s="83">
        <f ca="1">IFERROR(__xludf.DUMMYFUNCTION("""COMPUTED_VALUE"""),45972.8125)</f>
        <v>45972.8125</v>
      </c>
      <c r="E90" s="75" t="str">
        <f ca="1">IFERROR(__xludf.DUMMYFUNCTION("""COMPUTED_VALUE"""),"32.63 07/11/2025")</f>
        <v>32.63 07/11/2025</v>
      </c>
      <c r="F90" s="235">
        <f ca="1">IFERROR(__xludf.DUMMYFUNCTION("""COMPUTED_VALUE"""),46002.625)</f>
        <v>46002.625</v>
      </c>
      <c r="G90" s="75" t="str">
        <f ca="1">IFERROR(__xludf.DUMMYFUNCTION("""COMPUTED_VALUE"""),"13/11/2025 15:00")</f>
        <v>13/11/2025 15:00</v>
      </c>
      <c r="H90" s="75" t="str">
        <f ca="1">IFERROR(__xludf.DUMMYFUNCTION("""COMPUTED_VALUE"""),"13/11/2025 15:00")</f>
        <v>13/11/2025 15:00</v>
      </c>
      <c r="I90" s="83" t="str">
        <f ca="1">IFERROR(__xludf.DUMMYFUNCTION("""COMPUTED_VALUE"""),"14/11/2025 15:00")</f>
        <v>14/11/2025 15:00</v>
      </c>
      <c r="J90" s="83" t="str">
        <f ca="1">IFERROR(__xludf.DUMMYFUNCTION("""COMPUTED_VALUE"""),"14/11/2025 16:00")</f>
        <v>14/11/2025 16:00</v>
      </c>
      <c r="K90" s="75" t="str">
        <f ca="1">IFERROR(__xludf.DUMMYFUNCTION("""COMPUTED_VALUE"""),"15/11/2025 16:00")</f>
        <v>15/11/2025 16:00</v>
      </c>
      <c r="L90" s="75" t="str">
        <f ca="1">IFERROR(__xludf.DUMMYFUNCTION("""COMPUTED_VALUE"""),"15/11/2025 20:00")</f>
        <v>15/11/2025 20:00</v>
      </c>
      <c r="M90" s="75" t="str">
        <f ca="1">IFERROR(__xludf.DUMMYFUNCTION("""COMPUTED_VALUE"""),"17/11/2025 MORNING")</f>
        <v>17/11/2025 MORNING</v>
      </c>
    </row>
    <row r="91" spans="1:13" ht="18.75" hidden="1">
      <c r="A91" s="129"/>
      <c r="B91" s="129"/>
      <c r="C91" s="132" t="str">
        <f ca="1">IFERROR(__xludf.DUMMYFUNCTION("""COMPUTED_VALUE"""),"THLCB")</f>
        <v>THLCB</v>
      </c>
      <c r="D91" s="221">
        <f ca="1">IFERROR(__xludf.DUMMYFUNCTION("""COMPUTED_VALUE"""),46002.375)</f>
        <v>46002.375</v>
      </c>
      <c r="E91" s="129"/>
      <c r="F91" s="221">
        <f ca="1">IFERROR(__xludf.DUMMYFUNCTION("""COMPUTED_VALUE"""),46002.625)</f>
        <v>46002.625</v>
      </c>
      <c r="G91" s="129" t="str">
        <f ca="1">IFERROR(__xludf.DUMMYFUNCTION("""COMPUTED_VALUE"""),"13/11/2025 15:00")</f>
        <v>13/11/2025 15:00</v>
      </c>
      <c r="H91" s="129" t="str">
        <f ca="1">IFERROR(__xludf.DUMMYFUNCTION("""COMPUTED_VALUE"""),"13/11/2025 15:00")</f>
        <v>13/11/2025 15:00</v>
      </c>
      <c r="I91" s="162" t="str">
        <f ca="1">IFERROR(__xludf.DUMMYFUNCTION("""COMPUTED_VALUE"""),"14/11/2025 15:00")</f>
        <v>14/11/2025 15:00</v>
      </c>
      <c r="J91" s="162" t="str">
        <f ca="1">IFERROR(__xludf.DUMMYFUNCTION("""COMPUTED_VALUE"""),"14/11/2025 16:00")</f>
        <v>14/11/2025 16:00</v>
      </c>
      <c r="K91" s="162" t="str">
        <f ca="1">IFERROR(__xludf.DUMMYFUNCTION("""COMPUTED_VALUE"""),"16/11/2025 04:00")</f>
        <v>16/11/2025 04:00</v>
      </c>
      <c r="L91" s="129" t="str">
        <f ca="1">IFERROR(__xludf.DUMMYFUNCTION("""COMPUTED_VALUE"""),"16/11/2025 09:30")</f>
        <v>16/11/2025 09:30</v>
      </c>
      <c r="M91" s="129" t="str">
        <f ca="1">IFERROR(__xludf.DUMMYFUNCTION("""COMPUTED_VALUE"""),"17/11/2025 MORNING")</f>
        <v>17/11/2025 MORNING</v>
      </c>
    </row>
    <row r="92" spans="1:13" ht="18.75" hidden="1">
      <c r="A92" s="129" t="str">
        <f ca="1">IFERROR(__xludf.DUMMYFUNCTION("""COMPUTED_VALUE"""),"TRX")</f>
        <v>TRX</v>
      </c>
      <c r="B92" s="129" t="str">
        <f ca="1">IFERROR(__xludf.DUMMYFUNCTION("""COMPUTED_VALUE"""),"TS SURABAYA V.25021N")</f>
        <v>TS SURABAYA V.25021N</v>
      </c>
      <c r="C92" s="132" t="str">
        <f ca="1">IFERROR(__xludf.DUMMYFUNCTION("""COMPUTED_VALUE"""),"THBKK")</f>
        <v>THBKK</v>
      </c>
      <c r="D92" s="129" t="str">
        <f ca="1">IFERROR(__xludf.DUMMYFUNCTION("""COMPUTED_VALUE"""),"18/11/2025 19:30")</f>
        <v>18/11/2025 19:30</v>
      </c>
      <c r="E92" s="129" t="str">
        <f ca="1">IFERROR(__xludf.DUMMYFUNCTION("""COMPUTED_VALUE"""),"32.63 14/11/2025")</f>
        <v>32.63 14/11/2025</v>
      </c>
      <c r="F92" s="129" t="str">
        <f ca="1">IFERROR(__xludf.DUMMYFUNCTION("""COMPUTED_VALUE"""),"19/11/2025 15:00")</f>
        <v>19/11/2025 15:00</v>
      </c>
      <c r="G92" s="129" t="str">
        <f ca="1">IFERROR(__xludf.DUMMYFUNCTION("""COMPUTED_VALUE"""),"20/11/2025 15:00")</f>
        <v>20/11/2025 15:00</v>
      </c>
      <c r="H92" s="129" t="str">
        <f ca="1">IFERROR(__xludf.DUMMYFUNCTION("""COMPUTED_VALUE"""),"20/11/2025 15:00")</f>
        <v>20/11/2025 15:00</v>
      </c>
      <c r="I92" s="162" t="str">
        <f ca="1">IFERROR(__xludf.DUMMYFUNCTION("""COMPUTED_VALUE"""),"21/11/2025 15:00")</f>
        <v>21/11/2025 15:00</v>
      </c>
      <c r="J92" s="162" t="str">
        <f ca="1">IFERROR(__xludf.DUMMYFUNCTION("""COMPUTED_VALUE"""),"21/11/2025 16:00")</f>
        <v>21/11/2025 16:00</v>
      </c>
      <c r="K92" s="162" t="str">
        <f ca="1">IFERROR(__xludf.DUMMYFUNCTION("""COMPUTED_VALUE"""),"23/11/2025 06:00")</f>
        <v>23/11/2025 06:00</v>
      </c>
      <c r="L92" s="129" t="str">
        <f ca="1">IFERROR(__xludf.DUMMYFUNCTION("""COMPUTED_VALUE"""),"23/11/2025 06:00")</f>
        <v>23/11/2025 06:00</v>
      </c>
      <c r="M92" s="129" t="str">
        <f ca="1">IFERROR(__xludf.DUMMYFUNCTION("""COMPUTED_VALUE"""),"24/11/2025 MORNING")</f>
        <v>24/11/2025 MORNING</v>
      </c>
    </row>
    <row r="93" spans="1:13" ht="18.75" hidden="1">
      <c r="A93" s="129"/>
      <c r="B93" s="129"/>
      <c r="C93" s="132" t="str">
        <f ca="1">IFERROR(__xludf.DUMMYFUNCTION("""COMPUTED_VALUE"""),"THLCB")</f>
        <v>THLCB</v>
      </c>
      <c r="D93" s="129" t="str">
        <f ca="1">IFERROR(__xludf.DUMMYFUNCTION("""COMPUTED_VALUE"""),"19/11/2025 09:00")</f>
        <v>19/11/2025 09:00</v>
      </c>
      <c r="E93" s="129"/>
      <c r="F93" s="129" t="str">
        <f ca="1">IFERROR(__xludf.DUMMYFUNCTION("""COMPUTED_VALUE"""),"19/11/2025 15:00")</f>
        <v>19/11/2025 15:00</v>
      </c>
      <c r="G93" s="129" t="str">
        <f ca="1">IFERROR(__xludf.DUMMYFUNCTION("""COMPUTED_VALUE"""),"20/11/2025 15:00")</f>
        <v>20/11/2025 15:00</v>
      </c>
      <c r="H93" s="129" t="str">
        <f ca="1">IFERROR(__xludf.DUMMYFUNCTION("""COMPUTED_VALUE"""),"20/11/2025 15:00")</f>
        <v>20/11/2025 15:00</v>
      </c>
      <c r="I93" s="162" t="str">
        <f ca="1">IFERROR(__xludf.DUMMYFUNCTION("""COMPUTED_VALUE"""),"21/11/2025 15:00")</f>
        <v>21/11/2025 15:00</v>
      </c>
      <c r="J93" s="162" t="str">
        <f ca="1">IFERROR(__xludf.DUMMYFUNCTION("""COMPUTED_VALUE"""),"21/11/2025 16:00")</f>
        <v>21/11/2025 16:00</v>
      </c>
      <c r="K93" s="162" t="str">
        <f ca="1">IFERROR(__xludf.DUMMYFUNCTION("""COMPUTED_VALUE"""),"23/11/2025 21:00")</f>
        <v>23/11/2025 21:00</v>
      </c>
      <c r="L93" s="129" t="str">
        <f ca="1">IFERROR(__xludf.DUMMYFUNCTION("""COMPUTED_VALUE"""),"23/11/2025 23:00")</f>
        <v>23/11/2025 23:00</v>
      </c>
      <c r="M93" s="129" t="str">
        <f ca="1">IFERROR(__xludf.DUMMYFUNCTION("""COMPUTED_VALUE"""),"24/11/2025 MORNING")</f>
        <v>24/11/2025 MORNING</v>
      </c>
    </row>
    <row r="94" spans="1:13" ht="18.75" hidden="1">
      <c r="A94" s="129" t="str">
        <f ca="1">IFERROR(__xludf.DUMMYFUNCTION("""COMPUTED_VALUE"""),"CHT")</f>
        <v>CHT</v>
      </c>
      <c r="B94" s="129" t="str">
        <f ca="1">IFERROR(__xludf.DUMMYFUNCTION("""COMPUTED_VALUE"""),"SAWASDEE RIGEL V.2512N")</f>
        <v>SAWASDEE RIGEL V.2512N</v>
      </c>
      <c r="C94" s="132" t="str">
        <f ca="1">IFERROR(__xludf.DUMMYFUNCTION("""COMPUTED_VALUE"""),"THBKK")</f>
        <v>THBKK</v>
      </c>
      <c r="D94" s="238">
        <f ca="1">IFERROR(__xludf.DUMMYFUNCTION("""COMPUTED_VALUE"""),45788.3333333333)</f>
        <v>45788.333333333299</v>
      </c>
      <c r="E94" s="129" t="str">
        <f ca="1">IFERROR(__xludf.DUMMYFUNCTION("""COMPUTED_VALUE"""),"32.61 10/11/2025")</f>
        <v>32.61 10/11/2025</v>
      </c>
      <c r="F94" s="129" t="str">
        <f ca="1">IFERROR(__xludf.DUMMYFUNCTION("""COMPUTED_VALUE"""),"16/11/2025 15:00")</f>
        <v>16/11/2025 15:00</v>
      </c>
      <c r="G94" s="129" t="str">
        <f ca="1">IFERROR(__xludf.DUMMYFUNCTION("""COMPUTED_VALUE"""),"17/11/2025 15:00")</f>
        <v>17/11/2025 15:00</v>
      </c>
      <c r="H94" s="129" t="str">
        <f ca="1">IFERROR(__xludf.DUMMYFUNCTION("""COMPUTED_VALUE"""),"17/11/2025 15:00")</f>
        <v>17/11/2025 15:00</v>
      </c>
      <c r="I94" s="162" t="str">
        <f ca="1">IFERROR(__xludf.DUMMYFUNCTION("""COMPUTED_VALUE"""),"18/11/2025 16:00")</f>
        <v>18/11/2025 16:00</v>
      </c>
      <c r="J94" s="162" t="str">
        <f ca="1">IFERROR(__xludf.DUMMYFUNCTION("""COMPUTED_VALUE"""),"19/11/2025 16:00")</f>
        <v>19/11/2025 16:00</v>
      </c>
      <c r="K94" s="162" t="str">
        <f ca="1">IFERROR(__xludf.DUMMYFUNCTION("""COMPUTED_VALUE"""),"20/11/2025 03:00")</f>
        <v>20/11/2025 03:00</v>
      </c>
      <c r="L94" s="129" t="str">
        <f ca="1">IFERROR(__xludf.DUMMYFUNCTION("""COMPUTED_VALUE"""),"20/11/2025 03:00")</f>
        <v>20/11/2025 03:00</v>
      </c>
      <c r="M94" s="129" t="str">
        <f ca="1">IFERROR(__xludf.DUMMYFUNCTION("""COMPUTED_VALUE"""),"20/11/2025 NOON")</f>
        <v>20/11/2025 NOON</v>
      </c>
    </row>
    <row r="95" spans="1:13" ht="18.75" hidden="1">
      <c r="A95" s="129"/>
      <c r="B95" s="129"/>
      <c r="C95" s="132" t="str">
        <f ca="1">IFERROR(__xludf.DUMMYFUNCTION("""COMPUTED_VALUE"""),"THLCB")</f>
        <v>THLCB</v>
      </c>
      <c r="D95" s="238">
        <f ca="1">IFERROR(__xludf.DUMMYFUNCTION("""COMPUTED_VALUE"""),45819.1666666666)</f>
        <v>45819.166666666599</v>
      </c>
      <c r="E95" s="129"/>
      <c r="F95" s="129" t="str">
        <f ca="1">IFERROR(__xludf.DUMMYFUNCTION("""COMPUTED_VALUE"""),"16/11/2025 15:00")</f>
        <v>16/11/2025 15:00</v>
      </c>
      <c r="G95" s="129" t="str">
        <f ca="1">IFERROR(__xludf.DUMMYFUNCTION("""COMPUTED_VALUE"""),"17/11/2025 15:00")</f>
        <v>17/11/2025 15:00</v>
      </c>
      <c r="H95" s="129" t="str">
        <f ca="1">IFERROR(__xludf.DUMMYFUNCTION("""COMPUTED_VALUE"""),"17/11/2025 15:00")</f>
        <v>17/11/2025 15:00</v>
      </c>
      <c r="I95" s="162" t="str">
        <f ca="1">IFERROR(__xludf.DUMMYFUNCTION("""COMPUTED_VALUE"""),"18/11/2025 16:00")</f>
        <v>18/11/2025 16:00</v>
      </c>
      <c r="J95" s="162" t="str">
        <f ca="1">IFERROR(__xludf.DUMMYFUNCTION("""COMPUTED_VALUE"""),"19/11/2025 16:00")</f>
        <v>19/11/2025 16:00</v>
      </c>
      <c r="K95" s="162" t="str">
        <f ca="1">IFERROR(__xludf.DUMMYFUNCTION("""COMPUTED_VALUE"""),"20/11/2025 18:00")</f>
        <v>20/11/2025 18:00</v>
      </c>
      <c r="L95" s="129" t="str">
        <f ca="1">IFERROR(__xludf.DUMMYFUNCTION("""COMPUTED_VALUE"""),"20/11/2025 18:55")</f>
        <v>20/11/2025 18:55</v>
      </c>
      <c r="M95" s="129" t="str">
        <f ca="1">IFERROR(__xludf.DUMMYFUNCTION("""COMPUTED_VALUE"""),"21/11/2025 MORNING")</f>
        <v>21/11/2025 MORNING</v>
      </c>
    </row>
    <row r="96" spans="1:13" ht="18.75" hidden="1">
      <c r="A96" s="129" t="str">
        <f ca="1">IFERROR(__xludf.DUMMYFUNCTION("""COMPUTED_VALUE"""),"JTX")</f>
        <v>JTX</v>
      </c>
      <c r="B96" s="129" t="str">
        <f ca="1">IFERROR(__xludf.DUMMYFUNCTION("""COMPUTED_VALUE"""),"SHUN LONG V.0QIM4N")</f>
        <v>SHUN LONG V.0QIM4N</v>
      </c>
      <c r="C96" s="132" t="str">
        <f ca="1">IFERROR(__xludf.DUMMYFUNCTION("""COMPUTED_VALUE"""),"THLCB")</f>
        <v>THLCB</v>
      </c>
      <c r="D96" s="221">
        <f ca="1">IFERROR(__xludf.DUMMYFUNCTION("""COMPUTED_VALUE"""),45849.9166666666)</f>
        <v>45849.916666666599</v>
      </c>
      <c r="E96" s="129" t="str">
        <f ca="1">IFERROR(__xludf.DUMMYFUNCTION("""COMPUTED_VALUE"""),"32.83 05/11/2025")</f>
        <v>32.83 05/11/2025</v>
      </c>
      <c r="F96" s="129" t="str">
        <f ca="1">IFERROR(__xludf.DUMMYFUNCTION("""COMPUTED_VALUE"""),"14/11/2025 15:00")</f>
        <v>14/11/2025 15:00</v>
      </c>
      <c r="G96" s="129" t="str">
        <f ca="1">IFERROR(__xludf.DUMMYFUNCTION("""COMPUTED_VALUE"""),"14/11/2025 15:00")</f>
        <v>14/11/2025 15:00</v>
      </c>
      <c r="H96" s="129" t="str">
        <f ca="1">IFERROR(__xludf.DUMMYFUNCTION("""COMPUTED_VALUE"""),"14/11/2025 15:00")</f>
        <v>14/11/2025 15:00</v>
      </c>
      <c r="I96" s="162" t="str">
        <f ca="1">IFERROR(__xludf.DUMMYFUNCTION("""COMPUTED_VALUE"""),"14/11/2025 15:00")</f>
        <v>14/11/2025 15:00</v>
      </c>
      <c r="J96" s="162" t="str">
        <f ca="1">IFERROR(__xludf.DUMMYFUNCTION("""COMPUTED_VALUE"""),"14/11/2025 15:00")</f>
        <v>14/11/2025 15:00</v>
      </c>
      <c r="K96" s="162" t="str">
        <f ca="1">IFERROR(__xludf.DUMMYFUNCTION("""COMPUTED_VALUE"""),"16/11/2025 20:00")</f>
        <v>16/11/2025 20:00</v>
      </c>
      <c r="L96" s="129" t="str">
        <f ca="1">IFERROR(__xludf.DUMMYFUNCTION("""COMPUTED_VALUE"""),"16/11/2025 18:00")</f>
        <v>16/11/2025 18:00</v>
      </c>
      <c r="M96" s="129" t="str">
        <f ca="1">IFERROR(__xludf.DUMMYFUNCTION("""COMPUTED_VALUE"""),"17/11/2025 MORNING")</f>
        <v>17/11/2025 MORNING</v>
      </c>
    </row>
    <row r="97" spans="1:13" ht="18.75" hidden="1">
      <c r="A97" s="129"/>
      <c r="B97" s="129" t="str">
        <f ca="1">IFERROR(__xludf.DUMMYFUNCTION("""COMPUTED_VALUE"""),"WEEK 46/2025")</f>
        <v>WEEK 46/2025</v>
      </c>
      <c r="C97" s="132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97" s="129"/>
      <c r="E97" s="129"/>
      <c r="F97" s="129"/>
      <c r="G97" s="129"/>
      <c r="H97" s="129"/>
      <c r="I97" s="162"/>
      <c r="J97" s="162"/>
      <c r="K97" s="162"/>
      <c r="L97" s="129"/>
      <c r="M97" s="129"/>
    </row>
    <row r="98" spans="1:13" ht="18.75" hidden="1">
      <c r="A98" s="129"/>
      <c r="B98" s="129"/>
      <c r="C98" s="132"/>
      <c r="D98" s="129"/>
      <c r="E98" s="129"/>
      <c r="F98" s="129"/>
      <c r="G98" s="129"/>
      <c r="H98" s="129"/>
      <c r="I98" s="162"/>
      <c r="J98" s="162"/>
      <c r="K98" s="162"/>
      <c r="L98" s="129"/>
      <c r="M98" s="129"/>
    </row>
    <row r="99" spans="1:13" ht="18.75" hidden="1">
      <c r="A99" s="129" t="str">
        <f ca="1">IFERROR(__xludf.DUMMYFUNCTION("""COMPUTED_VALUE"""),"SERVICE")</f>
        <v>SERVICE</v>
      </c>
      <c r="B99" s="129" t="str">
        <f ca="1">IFERROR(__xludf.DUMMYFUNCTION("""COMPUTED_VALUE"""),"VESSEL NAME")</f>
        <v>VESSEL NAME</v>
      </c>
      <c r="C99" s="132" t="str">
        <f ca="1">IFERROR(__xludf.DUMMYFUNCTION("""COMPUTED_VALUE"""),"PORT")</f>
        <v>PORT</v>
      </c>
      <c r="D99" s="129" t="str">
        <f ca="1">IFERROR(__xludf.DUMMYFUNCTION("""COMPUTED_VALUE"""),"PERFOMA ETD")</f>
        <v>PERFOMA ETD</v>
      </c>
      <c r="E99" s="129" t="str">
        <f ca="1">IFERROR(__xludf.DUMMYFUNCTION("""COMPUTED_VALUE"""),"EX.RATE/DATE/")</f>
        <v>EX.RATE/DATE/</v>
      </c>
      <c r="F99" s="129" t="str">
        <f ca="1">IFERROR(__xludf.DUMMYFUNCTION("""COMPUTED_VALUE"""),"SI CUT OFF USA,MX")</f>
        <v>SI CUT OFF USA,MX</v>
      </c>
      <c r="G99" s="129" t="str">
        <f ca="1">IFERROR(__xludf.DUMMYFUNCTION("""COMPUTED_VALUE"""),"SI CUT OFF")</f>
        <v>SI CUT OFF</v>
      </c>
      <c r="H99" s="129" t="str">
        <f ca="1">IFERROR(__xludf.DUMMYFUNCTION("""COMPUTED_VALUE"""),"B/L CFM USA,MX")</f>
        <v>B/L CFM USA,MX</v>
      </c>
      <c r="I99" s="162" t="str">
        <f ca="1">IFERROR(__xludf.DUMMYFUNCTION("""COMPUTED_VALUE"""),"B/L CFM CHINA,JP,VN")</f>
        <v>B/L CFM CHINA,JP,VN</v>
      </c>
      <c r="J99" s="162" t="str">
        <f ca="1">IFERROR(__xludf.DUMMYFUNCTION("""COMPUTED_VALUE"""),"B/L CONFIRM")</f>
        <v>B/L CONFIRM</v>
      </c>
      <c r="K99" s="162" t="str">
        <f ca="1">IFERROR(__xludf.DUMMYFUNCTION("""COMPUTED_VALUE"""),"ETD")</f>
        <v>ETD</v>
      </c>
      <c r="L99" s="129" t="str">
        <f ca="1">IFERROR(__xludf.DUMMYFUNCTION("""COMPUTED_VALUE"""),"ATD")</f>
        <v>ATD</v>
      </c>
      <c r="M99" s="129" t="str">
        <f ca="1">IFERROR(__xludf.DUMMYFUNCTION("""COMPUTED_VALUE"""),"B/L ISSUED DATE")</f>
        <v>B/L ISSUED DATE</v>
      </c>
    </row>
    <row r="100" spans="1:13" ht="18.75" hidden="1">
      <c r="A100" s="129"/>
      <c r="B100" s="178"/>
      <c r="C100" s="132"/>
      <c r="D100" s="129"/>
      <c r="E100" s="129" t="str">
        <f ca="1">IFERROR(__xludf.DUMMYFUNCTION("""COMPUTED_VALUE"""),"BANGKOK BANK")</f>
        <v>BANGKOK BANK</v>
      </c>
      <c r="F100" s="129" t="str">
        <f ca="1">IFERROR(__xludf.DUMMYFUNCTION("""COMPUTED_VALUE"""),"4 days before ETD")</f>
        <v>4 days before ETD</v>
      </c>
      <c r="G100" s="129"/>
      <c r="H100" s="129" t="str">
        <f ca="1">IFERROR(__xludf.DUMMYFUNCTION("""COMPUTED_VALUE"""),"3 days before ETD")</f>
        <v>3 days before ETD</v>
      </c>
      <c r="I100" s="162" t="str">
        <f ca="1">IFERROR(__xludf.DUMMYFUNCTION("""COMPUTED_VALUE"""),"Direct port CUT OFF")</f>
        <v>Direct port CUT OFF</v>
      </c>
      <c r="J100" s="162" t="str">
        <f ca="1">IFERROR(__xludf.DUMMYFUNCTION("""COMPUTED_VALUE"""),"Orther port CUT OFF")</f>
        <v>Orther port CUT OFF</v>
      </c>
      <c r="K100" s="162" t="str">
        <f ca="1">IFERROR(__xludf.DUMMYFUNCTION("""COMPUTED_VALUE"""),"ON BOARD DATE")</f>
        <v>ON BOARD DATE</v>
      </c>
      <c r="L100" s="129" t="str">
        <f ca="1">IFERROR(__xludf.DUMMYFUNCTION("""COMPUTED_VALUE"""),"วันเรือออกจริง")</f>
        <v>วันเรือออกจริง</v>
      </c>
      <c r="M100" s="129" t="str">
        <f ca="1">IFERROR(__xludf.DUMMYFUNCTION("""COMPUTED_VALUE"""),"วันปล่อยบีแอล")</f>
        <v>วันปล่อยบีแอล</v>
      </c>
    </row>
    <row r="101" spans="1:13" ht="18.75" hidden="1">
      <c r="A101" s="129"/>
      <c r="B101" s="129"/>
      <c r="C101" s="132"/>
      <c r="D101" s="129"/>
      <c r="E101" s="129"/>
      <c r="F101" s="129"/>
      <c r="G101" s="129" t="str">
        <f ca="1">IFERROR(__xludf.DUMMYFUNCTION("""COMPUTED_VALUE"""),"3 days before ETD")</f>
        <v>3 days before ETD</v>
      </c>
      <c r="H101" s="129"/>
      <c r="I101" s="162" t="str">
        <f ca="1">IFERROR(__xludf.DUMMYFUNCTION("""COMPUTED_VALUE"""),"2 days before ETD")</f>
        <v>2 days before ETD</v>
      </c>
      <c r="J101" s="162" t="str">
        <f ca="1">IFERROR(__xludf.DUMMYFUNCTION("""COMPUTED_VALUE"""),"1 days before ETD")</f>
        <v>1 days before ETD</v>
      </c>
      <c r="K101" s="162" t="str">
        <f ca="1">IFERROR(__xludf.DUMMYFUNCTION("""COMPUTED_VALUE"""),"SHOW ON B/L")</f>
        <v>SHOW ON B/L</v>
      </c>
      <c r="L101" s="129"/>
      <c r="M101" s="129"/>
    </row>
    <row r="102" spans="1:13" ht="18.75" hidden="1">
      <c r="A102" s="75" t="str">
        <f ca="1">IFERROR(__xludf.DUMMYFUNCTION("""COMPUTED_VALUE"""),"CVT")</f>
        <v>CVT</v>
      </c>
      <c r="B102" s="75" t="str">
        <f ca="1">IFERROR(__xludf.DUMMYFUNCTION("""COMPUTED_VALUE"""),"KMTC POHANG V.2513N")</f>
        <v>KMTC POHANG V.2513N</v>
      </c>
      <c r="C102" s="78" t="str">
        <f ca="1">IFERROR(__xludf.DUMMYFUNCTION("""COMPUTED_VALUE"""),"THBKK")</f>
        <v>THBKK</v>
      </c>
      <c r="D102" s="83" t="str">
        <f ca="1">IFERROR(__xludf.DUMMYFUNCTION("""COMPUTED_VALUE"""),"30/10/2025 08:00")</f>
        <v>30/10/2025 08:00</v>
      </c>
      <c r="E102" s="75" t="str">
        <f ca="1">IFERROR(__xludf.DUMMYFUNCTION("""COMPUTED_VALUE"""),"32.6 31/10/2025")</f>
        <v>32.6 31/10/2025</v>
      </c>
      <c r="F102" s="83">
        <f ca="1">IFERROR(__xludf.DUMMYFUNCTION("""COMPUTED_VALUE"""),45788.625)</f>
        <v>45788.625</v>
      </c>
      <c r="G102" s="244">
        <f ca="1">IFERROR(__xludf.DUMMYFUNCTION("""COMPUTED_VALUE"""),45819.625)</f>
        <v>45819.625</v>
      </c>
      <c r="H102" s="244">
        <f ca="1">IFERROR(__xludf.DUMMYFUNCTION("""COMPUTED_VALUE"""),45819.625)</f>
        <v>45819.625</v>
      </c>
      <c r="I102" s="83">
        <f ca="1">IFERROR(__xludf.DUMMYFUNCTION("""COMPUTED_VALUE"""),45849.625)</f>
        <v>45849.625</v>
      </c>
      <c r="J102" s="83">
        <f ca="1">IFERROR(__xludf.DUMMYFUNCTION("""COMPUTED_VALUE"""),45849.6666666666)</f>
        <v>45849.666666666599</v>
      </c>
      <c r="K102" s="235">
        <f ca="1">IFERROR(__xludf.DUMMYFUNCTION("""COMPUTED_VALUE"""),45941.2083333333)</f>
        <v>45941.208333333299</v>
      </c>
      <c r="L102" s="244">
        <f ca="1">IFERROR(__xludf.DUMMYFUNCTION("""COMPUTED_VALUE"""),45911.625)</f>
        <v>45911.625</v>
      </c>
      <c r="M102" s="75" t="str">
        <f ca="1">IFERROR(__xludf.DUMMYFUNCTION("""COMPUTED_VALUE"""),"10/11/2025 MORNING")</f>
        <v>10/11/2025 MORNING</v>
      </c>
    </row>
    <row r="103" spans="1:13" ht="18.75" hidden="1">
      <c r="A103" s="129"/>
      <c r="B103" s="129"/>
      <c r="C103" s="132" t="str">
        <f ca="1">IFERROR(__xludf.DUMMYFUNCTION("""COMPUTED_VALUE"""),"THLCB")</f>
        <v>THLCB</v>
      </c>
      <c r="D103" s="221">
        <f ca="1">IFERROR(__xludf.DUMMYFUNCTION("""COMPUTED_VALUE"""),45668.1666666666)</f>
        <v>45668.166666666599</v>
      </c>
      <c r="E103" s="129"/>
      <c r="F103" s="166">
        <f ca="1">IFERROR(__xludf.DUMMYFUNCTION("""COMPUTED_VALUE"""),45788.625)</f>
        <v>45788.625</v>
      </c>
      <c r="G103" s="238">
        <f ca="1">IFERROR(__xludf.DUMMYFUNCTION("""COMPUTED_VALUE"""),45819.625)</f>
        <v>45819.625</v>
      </c>
      <c r="H103" s="238">
        <f ca="1">IFERROR(__xludf.DUMMYFUNCTION("""COMPUTED_VALUE"""),45819.625)</f>
        <v>45819.625</v>
      </c>
      <c r="I103" s="246">
        <f ca="1">IFERROR(__xludf.DUMMYFUNCTION("""COMPUTED_VALUE"""),45849.625)</f>
        <v>45849.625</v>
      </c>
      <c r="J103" s="246">
        <f ca="1">IFERROR(__xludf.DUMMYFUNCTION("""COMPUTED_VALUE"""),45849.6666666666)</f>
        <v>45849.666666666599</v>
      </c>
      <c r="K103" s="193">
        <f ca="1">IFERROR(__xludf.DUMMYFUNCTION("""COMPUTED_VALUE"""),45941.5)</f>
        <v>45941.5</v>
      </c>
      <c r="L103" s="221">
        <f ca="1">IFERROR(__xludf.DUMMYFUNCTION("""COMPUTED_VALUE"""),45941.5416666666)</f>
        <v>45941.541666666599</v>
      </c>
      <c r="M103" s="129" t="str">
        <f ca="1">IFERROR(__xludf.DUMMYFUNCTION("""COMPUTED_VALUE"""),"11/11/2025 MORNING")</f>
        <v>11/11/2025 MORNING</v>
      </c>
    </row>
    <row r="104" spans="1:13" ht="18.75" hidden="1">
      <c r="A104" s="129" t="str">
        <f ca="1">IFERROR(__xludf.DUMMYFUNCTION("""COMPUTED_VALUE"""),"CVT")</f>
        <v>CVT</v>
      </c>
      <c r="B104" s="129" t="str">
        <f ca="1">IFERROR(__xludf.DUMMYFUNCTION("""COMPUTED_VALUE"""),"TS OSAKA V.25020N")</f>
        <v>TS OSAKA V.25020N</v>
      </c>
      <c r="C104" s="132" t="str">
        <f ca="1">IFERROR(__xludf.DUMMYFUNCTION("""COMPUTED_VALUE"""),"THBKK")</f>
        <v>THBKK</v>
      </c>
      <c r="D104" s="129" t="str">
        <f ca="1">IFERROR(__xludf.DUMMYFUNCTION("""COMPUTED_VALUE"""),"13/11/2025 08:00")</f>
        <v>13/11/2025 08:00</v>
      </c>
      <c r="E104" s="129" t="str">
        <f ca="1">IFERROR(__xludf.DUMMYFUNCTION("""COMPUTED_VALUE"""),"32.65 03/11/2025")</f>
        <v>32.65 03/11/2025</v>
      </c>
      <c r="F104" s="166">
        <f ca="1">IFERROR(__xludf.DUMMYFUNCTION("""COMPUTED_VALUE"""),45941.625)</f>
        <v>45941.625</v>
      </c>
      <c r="G104" s="166">
        <f ca="1">IFERROR(__xludf.DUMMYFUNCTION("""COMPUTED_VALUE"""),45972.625)</f>
        <v>45972.625</v>
      </c>
      <c r="H104" s="166">
        <f ca="1">IFERROR(__xludf.DUMMYFUNCTION("""COMPUTED_VALUE"""),45972.625)</f>
        <v>45972.625</v>
      </c>
      <c r="I104" s="193">
        <f ca="1">IFERROR(__xludf.DUMMYFUNCTION("""COMPUTED_VALUE"""),46002.625)</f>
        <v>46002.625</v>
      </c>
      <c r="J104" s="193">
        <f ca="1">IFERROR(__xludf.DUMMYFUNCTION("""COMPUTED_VALUE"""),46002.6666666666)</f>
        <v>46002.666666666599</v>
      </c>
      <c r="K104" s="193">
        <f ca="1">IFERROR(__xludf.DUMMYFUNCTION("""COMPUTED_VALUE"""),46002.7083333333)</f>
        <v>46002.708333333299</v>
      </c>
      <c r="L104" s="221">
        <f ca="1">IFERROR(__xludf.DUMMYFUNCTION("""COMPUTED_VALUE"""),46002.7083333333)</f>
        <v>46002.708333333299</v>
      </c>
      <c r="M104" s="129" t="str">
        <f ca="1">IFERROR(__xludf.DUMMYFUNCTION("""COMPUTED_VALUE"""),"13/11/2025 MORNING")</f>
        <v>13/11/2025 MORNING</v>
      </c>
    </row>
    <row r="105" spans="1:13" ht="18.75" hidden="1">
      <c r="A105" s="129"/>
      <c r="B105" s="129"/>
      <c r="C105" s="132" t="str">
        <f ca="1">IFERROR(__xludf.DUMMYFUNCTION("""COMPUTED_VALUE"""),"THLCB")</f>
        <v>THLCB</v>
      </c>
      <c r="D105" s="129" t="str">
        <f ca="1">IFERROR(__xludf.DUMMYFUNCTION("""COMPUTED_VALUE"""),"14/11/2025 04:00")</f>
        <v>14/11/2025 04:00</v>
      </c>
      <c r="E105" s="129"/>
      <c r="F105" s="166">
        <f ca="1">IFERROR(__xludf.DUMMYFUNCTION("""COMPUTED_VALUE"""),46002.6666666666)</f>
        <v>46002.666666666599</v>
      </c>
      <c r="G105" s="221">
        <f ca="1">IFERROR(__xludf.DUMMYFUNCTION("""COMPUTED_VALUE"""),46002.6666666666)</f>
        <v>46002.666666666599</v>
      </c>
      <c r="H105" s="221">
        <f ca="1">IFERROR(__xludf.DUMMYFUNCTION("""COMPUTED_VALUE"""),46002.6666666666)</f>
        <v>46002.666666666599</v>
      </c>
      <c r="I105" s="193">
        <f ca="1">IFERROR(__xludf.DUMMYFUNCTION("""COMPUTED_VALUE"""),46002.6666666666)</f>
        <v>46002.666666666599</v>
      </c>
      <c r="J105" s="193">
        <f ca="1">IFERROR(__xludf.DUMMYFUNCTION("""COMPUTED_VALUE"""),46002.6666666666)</f>
        <v>46002.666666666599</v>
      </c>
      <c r="K105" s="162" t="str">
        <f ca="1">IFERROR(__xludf.DUMMYFUNCTION("""COMPUTED_VALUE"""),"13/11/2025 12:00")</f>
        <v>13/11/2025 12:00</v>
      </c>
      <c r="L105" s="129" t="str">
        <f ca="1">IFERROR(__xludf.DUMMYFUNCTION("""COMPUTED_VALUE"""),"13/11/2025 12:00")</f>
        <v>13/11/2025 12:00</v>
      </c>
      <c r="M105" s="129" t="str">
        <f ca="1">IFERROR(__xludf.DUMMYFUNCTION("""COMPUTED_VALUE"""),"14/11/2025 MORNING")</f>
        <v>14/11/2025 MORNING</v>
      </c>
    </row>
    <row r="106" spans="1:13" ht="18.75" hidden="1">
      <c r="A106" s="129"/>
      <c r="B106" s="129"/>
      <c r="C106" s="132"/>
      <c r="D106" s="129"/>
      <c r="E106" s="129"/>
      <c r="F106" s="129"/>
      <c r="G106" s="129"/>
      <c r="H106" s="129"/>
      <c r="I106" s="162"/>
      <c r="J106" s="162"/>
      <c r="K106" s="162"/>
      <c r="L106" s="129"/>
      <c r="M106" s="129"/>
    </row>
    <row r="107" spans="1:13" ht="18.75" hidden="1">
      <c r="A107" s="129"/>
      <c r="B107" s="129"/>
      <c r="C107" s="132"/>
      <c r="D107" s="129"/>
      <c r="E107" s="129"/>
      <c r="F107" s="129"/>
      <c r="G107" s="129"/>
      <c r="H107" s="129"/>
      <c r="I107" s="162"/>
      <c r="J107" s="162"/>
      <c r="K107" s="162"/>
      <c r="L107" s="129"/>
      <c r="M107" s="129"/>
    </row>
    <row r="108" spans="1:13" ht="18.75" hidden="1">
      <c r="A108" s="129"/>
      <c r="B108" s="129"/>
      <c r="C108" s="132"/>
      <c r="D108" s="129"/>
      <c r="E108" s="129"/>
      <c r="F108" s="129"/>
      <c r="G108" s="129"/>
      <c r="H108" s="129"/>
      <c r="I108" s="162"/>
      <c r="J108" s="162"/>
      <c r="K108" s="162"/>
      <c r="L108" s="129"/>
      <c r="M108" s="129"/>
    </row>
    <row r="109" spans="1:13" ht="18.75" hidden="1">
      <c r="A109" s="129"/>
      <c r="B109" s="129" t="str">
        <f ca="1">IFERROR(__xludf.DUMMYFUNCTION("""COMPUTED_VALUE"""),"WEEK 45/2025")</f>
        <v>WEEK 45/2025</v>
      </c>
      <c r="C109" s="132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109" s="129"/>
      <c r="E109" s="129"/>
      <c r="F109" s="129"/>
      <c r="G109" s="129"/>
      <c r="H109" s="129"/>
      <c r="I109" s="162"/>
      <c r="J109" s="162"/>
      <c r="K109" s="162"/>
      <c r="L109" s="129"/>
      <c r="M109" s="129"/>
    </row>
    <row r="110" spans="1:13" ht="18.75" hidden="1">
      <c r="A110" s="129"/>
      <c r="B110" s="129"/>
      <c r="C110" s="132"/>
      <c r="D110" s="129"/>
      <c r="E110" s="129"/>
      <c r="F110" s="129"/>
      <c r="G110" s="129"/>
      <c r="H110" s="129"/>
      <c r="I110" s="162"/>
      <c r="J110" s="162"/>
      <c r="K110" s="162"/>
      <c r="L110" s="129"/>
      <c r="M110" s="129"/>
    </row>
    <row r="111" spans="1:13" ht="18.75" hidden="1">
      <c r="A111" s="129" t="str">
        <f ca="1">IFERROR(__xludf.DUMMYFUNCTION("""COMPUTED_VALUE"""),"SERVICE")</f>
        <v>SERVICE</v>
      </c>
      <c r="B111" s="129" t="str">
        <f ca="1">IFERROR(__xludf.DUMMYFUNCTION("""COMPUTED_VALUE"""),"VESSEL NAME")</f>
        <v>VESSEL NAME</v>
      </c>
      <c r="C111" s="132" t="str">
        <f ca="1">IFERROR(__xludf.DUMMYFUNCTION("""COMPUTED_VALUE"""),"PORT")</f>
        <v>PORT</v>
      </c>
      <c r="D111" s="129" t="str">
        <f ca="1">IFERROR(__xludf.DUMMYFUNCTION("""COMPUTED_VALUE"""),"PERFOMA ETD")</f>
        <v>PERFOMA ETD</v>
      </c>
      <c r="E111" s="129" t="str">
        <f ca="1">IFERROR(__xludf.DUMMYFUNCTION("""COMPUTED_VALUE"""),"EX.RATE/DATE/")</f>
        <v>EX.RATE/DATE/</v>
      </c>
      <c r="F111" s="129" t="str">
        <f ca="1">IFERROR(__xludf.DUMMYFUNCTION("""COMPUTED_VALUE"""),"SI CUT OFF USA,MX")</f>
        <v>SI CUT OFF USA,MX</v>
      </c>
      <c r="G111" s="129" t="str">
        <f ca="1">IFERROR(__xludf.DUMMYFUNCTION("""COMPUTED_VALUE"""),"SI CUT OFF")</f>
        <v>SI CUT OFF</v>
      </c>
      <c r="H111" s="129" t="str">
        <f ca="1">IFERROR(__xludf.DUMMYFUNCTION("""COMPUTED_VALUE"""),"B/L CFM USA,MX")</f>
        <v>B/L CFM USA,MX</v>
      </c>
      <c r="I111" s="162" t="str">
        <f ca="1">IFERROR(__xludf.DUMMYFUNCTION("""COMPUTED_VALUE"""),"B/L CFM CHINA,JP,VN")</f>
        <v>B/L CFM CHINA,JP,VN</v>
      </c>
      <c r="J111" s="162" t="str">
        <f ca="1">IFERROR(__xludf.DUMMYFUNCTION("""COMPUTED_VALUE"""),"B/L CONFIRM")</f>
        <v>B/L CONFIRM</v>
      </c>
      <c r="K111" s="162" t="str">
        <f ca="1">IFERROR(__xludf.DUMMYFUNCTION("""COMPUTED_VALUE"""),"ETD")</f>
        <v>ETD</v>
      </c>
      <c r="L111" s="129" t="str">
        <f ca="1">IFERROR(__xludf.DUMMYFUNCTION("""COMPUTED_VALUE"""),"ATD")</f>
        <v>ATD</v>
      </c>
      <c r="M111" s="129" t="str">
        <f ca="1">IFERROR(__xludf.DUMMYFUNCTION("""COMPUTED_VALUE"""),"B/L ISSUED DATE")</f>
        <v>B/L ISSUED DATE</v>
      </c>
    </row>
    <row r="112" spans="1:13" ht="18.75" hidden="1">
      <c r="A112" s="129"/>
      <c r="B112" s="129"/>
      <c r="C112" s="132"/>
      <c r="D112" s="129"/>
      <c r="E112" s="129" t="str">
        <f ca="1">IFERROR(__xludf.DUMMYFUNCTION("""COMPUTED_VALUE"""),"BANGKOK BANK")</f>
        <v>BANGKOK BANK</v>
      </c>
      <c r="F112" s="129" t="str">
        <f ca="1">IFERROR(__xludf.DUMMYFUNCTION("""COMPUTED_VALUE"""),"4 days before ETD")</f>
        <v>4 days before ETD</v>
      </c>
      <c r="G112" s="129"/>
      <c r="H112" s="129" t="str">
        <f ca="1">IFERROR(__xludf.DUMMYFUNCTION("""COMPUTED_VALUE"""),"3 days before ETD")</f>
        <v>3 days before ETD</v>
      </c>
      <c r="I112" s="162" t="str">
        <f ca="1">IFERROR(__xludf.DUMMYFUNCTION("""COMPUTED_VALUE"""),"Direct port CUT OFF")</f>
        <v>Direct port CUT OFF</v>
      </c>
      <c r="J112" s="162" t="str">
        <f ca="1">IFERROR(__xludf.DUMMYFUNCTION("""COMPUTED_VALUE"""),"Orther port CUT OFF")</f>
        <v>Orther port CUT OFF</v>
      </c>
      <c r="K112" s="162" t="str">
        <f ca="1">IFERROR(__xludf.DUMMYFUNCTION("""COMPUTED_VALUE"""),"ON BOARD DATE")</f>
        <v>ON BOARD DATE</v>
      </c>
      <c r="L112" s="129" t="str">
        <f ca="1">IFERROR(__xludf.DUMMYFUNCTION("""COMPUTED_VALUE"""),"วันเรือออกจริง")</f>
        <v>วันเรือออกจริง</v>
      </c>
      <c r="M112" s="129" t="str">
        <f ca="1">IFERROR(__xludf.DUMMYFUNCTION("""COMPUTED_VALUE"""),"วันปล่อยบีแอล")</f>
        <v>วันปล่อยบีแอล</v>
      </c>
    </row>
    <row r="113" spans="1:13" ht="18.75" hidden="1">
      <c r="A113" s="129"/>
      <c r="B113" s="129"/>
      <c r="C113" s="132"/>
      <c r="D113" s="129"/>
      <c r="E113" s="129"/>
      <c r="F113" s="129"/>
      <c r="G113" s="129" t="str">
        <f ca="1">IFERROR(__xludf.DUMMYFUNCTION("""COMPUTED_VALUE"""),"3 days before ETD")</f>
        <v>3 days before ETD</v>
      </c>
      <c r="H113" s="129"/>
      <c r="I113" s="162" t="str">
        <f ca="1">IFERROR(__xludf.DUMMYFUNCTION("""COMPUTED_VALUE"""),"2 days before ETD")</f>
        <v>2 days before ETD</v>
      </c>
      <c r="J113" s="162" t="str">
        <f ca="1">IFERROR(__xludf.DUMMYFUNCTION("""COMPUTED_VALUE"""),"1 days before ETD")</f>
        <v>1 days before ETD</v>
      </c>
      <c r="K113" s="162" t="str">
        <f ca="1">IFERROR(__xludf.DUMMYFUNCTION("""COMPUTED_VALUE"""),"SHOW ON B/L")</f>
        <v>SHOW ON B/L</v>
      </c>
      <c r="L113" s="129"/>
      <c r="M113" s="129"/>
    </row>
    <row r="114" spans="1:13" ht="18.75" hidden="1">
      <c r="A114" s="129" t="str">
        <f ca="1">IFERROR(__xludf.DUMMYFUNCTION("""COMPUTED_VALUE"""),"TRX")</f>
        <v>TRX</v>
      </c>
      <c r="B114" s="129" t="str">
        <f ca="1">IFERROR(__xludf.DUMMYFUNCTION("""COMPUTED_VALUE"""),"TS SURABAYA V.25020N")</f>
        <v>TS SURABAYA V.25020N</v>
      </c>
      <c r="C114" s="132" t="str">
        <f ca="1">IFERROR(__xludf.DUMMYFUNCTION("""COMPUTED_VALUE"""),"THBKK")</f>
        <v>THBKK</v>
      </c>
      <c r="D114" s="238">
        <f ca="1">IFERROR(__xludf.DUMMYFUNCTION("""COMPUTED_VALUE"""),45758.8125)</f>
        <v>45758.8125</v>
      </c>
      <c r="E114" s="129" t="str">
        <f ca="1">IFERROR(__xludf.DUMMYFUNCTION("""COMPUTED_VALUE"""),"32.76 28/10/2025")</f>
        <v>32.76 28/10/2025</v>
      </c>
      <c r="F114" s="238">
        <f ca="1">IFERROR(__xludf.DUMMYFUNCTION("""COMPUTED_VALUE"""),45758.625)</f>
        <v>45758.625</v>
      </c>
      <c r="G114" s="238">
        <f ca="1">IFERROR(__xludf.DUMMYFUNCTION("""COMPUTED_VALUE"""),45788.625)</f>
        <v>45788.625</v>
      </c>
      <c r="H114" s="238">
        <f ca="1">IFERROR(__xludf.DUMMYFUNCTION("""COMPUTED_VALUE"""),45788.625)</f>
        <v>45788.625</v>
      </c>
      <c r="I114" s="246">
        <f ca="1">IFERROR(__xludf.DUMMYFUNCTION("""COMPUTED_VALUE"""),45819.625)</f>
        <v>45819.625</v>
      </c>
      <c r="J114" s="187">
        <f ca="1">IFERROR(__xludf.DUMMYFUNCTION("""COMPUTED_VALUE"""),45849.6666666666)</f>
        <v>45849.666666666599</v>
      </c>
      <c r="K114" s="187">
        <f ca="1">IFERROR(__xludf.DUMMYFUNCTION("""COMPUTED_VALUE"""),45880.1666666666)</f>
        <v>45880.166666666599</v>
      </c>
      <c r="L114" s="238">
        <f ca="1">IFERROR(__xludf.DUMMYFUNCTION("""COMPUTED_VALUE"""),45880.1666666666)</f>
        <v>45880.166666666599</v>
      </c>
      <c r="M114" s="129" t="str">
        <f ca="1">IFERROR(__xludf.DUMMYFUNCTION("""COMPUTED_VALUE"""),"10/11/2025 MORNING")</f>
        <v>10/11/2025 MORNING</v>
      </c>
    </row>
    <row r="115" spans="1:13" ht="18.75" hidden="1">
      <c r="A115" s="129"/>
      <c r="B115" s="178"/>
      <c r="C115" s="132" t="str">
        <f ca="1">IFERROR(__xludf.DUMMYFUNCTION("""COMPUTED_VALUE"""),"THLCB")</f>
        <v>THLCB</v>
      </c>
      <c r="D115" s="238">
        <f ca="1">IFERROR(__xludf.DUMMYFUNCTION("""COMPUTED_VALUE"""),45788.375)</f>
        <v>45788.375</v>
      </c>
      <c r="E115" s="129"/>
      <c r="F115" s="238">
        <f ca="1">IFERROR(__xludf.DUMMYFUNCTION("""COMPUTED_VALUE"""),45758.625)</f>
        <v>45758.625</v>
      </c>
      <c r="G115" s="238">
        <f ca="1">IFERROR(__xludf.DUMMYFUNCTION("""COMPUTED_VALUE"""),45788.625)</f>
        <v>45788.625</v>
      </c>
      <c r="H115" s="238">
        <f ca="1">IFERROR(__xludf.DUMMYFUNCTION("""COMPUTED_VALUE"""),45788.625)</f>
        <v>45788.625</v>
      </c>
      <c r="I115" s="246">
        <f ca="1">IFERROR(__xludf.DUMMYFUNCTION("""COMPUTED_VALUE"""),45819.625)</f>
        <v>45819.625</v>
      </c>
      <c r="J115" s="187">
        <f ca="1">IFERROR(__xludf.DUMMYFUNCTION("""COMPUTED_VALUE"""),45849.6666666666)</f>
        <v>45849.666666666599</v>
      </c>
      <c r="K115" s="187">
        <f ca="1">IFERROR(__xludf.DUMMYFUNCTION("""COMPUTED_VALUE"""),45880.8333333333)</f>
        <v>45880.833333333299</v>
      </c>
      <c r="L115" s="238">
        <f ca="1">IFERROR(__xludf.DUMMYFUNCTION("""COMPUTED_VALUE"""),45880.7743055555)</f>
        <v>45880.774305555497</v>
      </c>
      <c r="M115" s="129" t="str">
        <f ca="1">IFERROR(__xludf.DUMMYFUNCTION("""COMPUTED_VALUE"""),"10/11/2025 MORNING")</f>
        <v>10/11/2025 MORNING</v>
      </c>
    </row>
    <row r="116" spans="1:13" ht="18.75" hidden="1">
      <c r="A116" s="129" t="str">
        <f ca="1">IFERROR(__xludf.DUMMYFUNCTION("""COMPUTED_VALUE"""),"CVT")</f>
        <v>CVT</v>
      </c>
      <c r="B116" s="129" t="str">
        <f ca="1">IFERROR(__xludf.DUMMYFUNCTION("""COMPUTED_VALUE"""),"AVIOS V.2515N")</f>
        <v>AVIOS V.2515N</v>
      </c>
      <c r="C116" s="132" t="str">
        <f ca="1">IFERROR(__xludf.DUMMYFUNCTION("""COMPUTED_VALUE"""),"THBKK")</f>
        <v>THBKK</v>
      </c>
      <c r="D116" s="129" t="str">
        <f ca="1">IFERROR(__xludf.DUMMYFUNCTION("""COMPUTED_VALUE"""),"23/10/2025 08:00")</f>
        <v>23/10/2025 08:00</v>
      </c>
      <c r="E116" s="129" t="str">
        <f ca="1">IFERROR(__xludf.DUMMYFUNCTION("""COMPUTED_VALUE"""),"32.76 28/10/2025")</f>
        <v>32.76 28/10/2025</v>
      </c>
      <c r="F116" s="238">
        <f ca="1">IFERROR(__xludf.DUMMYFUNCTION("""COMPUTED_VALUE"""),45727.625)</f>
        <v>45727.625</v>
      </c>
      <c r="G116" s="238">
        <f ca="1">IFERROR(__xludf.DUMMYFUNCTION("""COMPUTED_VALUE"""),45758.625)</f>
        <v>45758.625</v>
      </c>
      <c r="H116" s="238">
        <f ca="1">IFERROR(__xludf.DUMMYFUNCTION("""COMPUTED_VALUE"""),45758.625)</f>
        <v>45758.625</v>
      </c>
      <c r="I116" s="246">
        <f ca="1">IFERROR(__xludf.DUMMYFUNCTION("""COMPUTED_VALUE"""),45788.625)</f>
        <v>45788.625</v>
      </c>
      <c r="J116" s="187">
        <f ca="1">IFERROR(__xludf.DUMMYFUNCTION("""COMPUTED_VALUE"""),45819.6666666666)</f>
        <v>45819.666666666599</v>
      </c>
      <c r="K116" s="187">
        <f ca="1">IFERROR(__xludf.DUMMYFUNCTION("""COMPUTED_VALUE"""),45849.125)</f>
        <v>45849.125</v>
      </c>
      <c r="L116" s="238">
        <f ca="1">IFERROR(__xludf.DUMMYFUNCTION("""COMPUTED_VALUE"""),45849.125)</f>
        <v>45849.125</v>
      </c>
      <c r="M116" s="129" t="str">
        <f ca="1">IFERROR(__xludf.DUMMYFUNCTION("""COMPUTED_VALUE"""),"07/11/2025 NOON")</f>
        <v>07/11/2025 NOON</v>
      </c>
    </row>
    <row r="117" spans="1:13" ht="18.75" hidden="1">
      <c r="A117" s="75"/>
      <c r="B117" s="75"/>
      <c r="C117" s="78" t="str">
        <f ca="1">IFERROR(__xludf.DUMMYFUNCTION("""COMPUTED_VALUE"""),"THLCB")</f>
        <v>THLCB</v>
      </c>
      <c r="D117" s="83" t="str">
        <f ca="1">IFERROR(__xludf.DUMMYFUNCTION("""COMPUTED_VALUE"""),"24/10/2025 04:00")</f>
        <v>24/10/2025 04:00</v>
      </c>
      <c r="E117" s="75"/>
      <c r="F117" s="244">
        <f ca="1">IFERROR(__xludf.DUMMYFUNCTION("""COMPUTED_VALUE"""),45758.625)</f>
        <v>45758.625</v>
      </c>
      <c r="G117" s="244">
        <f ca="1">IFERROR(__xludf.DUMMYFUNCTION("""COMPUTED_VALUE"""),45788.625)</f>
        <v>45788.625</v>
      </c>
      <c r="H117" s="244">
        <f ca="1">IFERROR(__xludf.DUMMYFUNCTION("""COMPUTED_VALUE"""),45788.625)</f>
        <v>45788.625</v>
      </c>
      <c r="I117" s="83">
        <f ca="1">IFERROR(__xludf.DUMMYFUNCTION("""COMPUTED_VALUE"""),45819.625)</f>
        <v>45819.625</v>
      </c>
      <c r="J117" s="83">
        <f ca="1">IFERROR(__xludf.DUMMYFUNCTION("""COMPUTED_VALUE"""),45849.6666666666)</f>
        <v>45849.666666666599</v>
      </c>
      <c r="K117" s="83">
        <f ca="1">IFERROR(__xludf.DUMMYFUNCTION("""COMPUTED_VALUE"""),45880.0833333333)</f>
        <v>45880.083333333299</v>
      </c>
      <c r="L117" s="244">
        <f ca="1">IFERROR(__xludf.DUMMYFUNCTION("""COMPUTED_VALUE"""),45880.125)</f>
        <v>45880.125</v>
      </c>
      <c r="M117" s="75" t="str">
        <f ca="1">IFERROR(__xludf.DUMMYFUNCTION("""COMPUTED_VALUE"""),"10/11/2025 MORNING")</f>
        <v>10/11/2025 MORNING</v>
      </c>
    </row>
    <row r="118" spans="1:13" ht="18.75" hidden="1">
      <c r="A118" s="129"/>
      <c r="B118" s="129"/>
      <c r="C118" s="132"/>
      <c r="D118" s="129"/>
      <c r="E118" s="129"/>
      <c r="F118" s="129"/>
      <c r="G118" s="129"/>
      <c r="H118" s="129"/>
      <c r="I118" s="162"/>
      <c r="J118" s="162"/>
      <c r="K118" s="162"/>
      <c r="L118" s="129"/>
      <c r="M118" s="129"/>
    </row>
    <row r="119" spans="1:13" ht="18.75" hidden="1">
      <c r="A119" s="129"/>
      <c r="B119" s="129"/>
      <c r="C119" s="132"/>
      <c r="D119" s="129"/>
      <c r="E119" s="129"/>
      <c r="F119" s="129"/>
      <c r="G119" s="129"/>
      <c r="H119" s="129"/>
      <c r="I119" s="162"/>
      <c r="J119" s="162"/>
      <c r="K119" s="162"/>
      <c r="L119" s="129"/>
      <c r="M119" s="129"/>
    </row>
    <row r="120" spans="1:13" ht="18.75" hidden="1">
      <c r="A120" s="129"/>
      <c r="B120" s="129"/>
      <c r="C120" s="132"/>
      <c r="D120" s="129"/>
      <c r="E120" s="129"/>
      <c r="F120" s="129"/>
      <c r="G120" s="129"/>
      <c r="H120" s="129"/>
      <c r="I120" s="162"/>
      <c r="J120" s="162"/>
      <c r="K120" s="162"/>
      <c r="L120" s="129"/>
      <c r="M120" s="129"/>
    </row>
    <row r="121" spans="1:13" ht="18.75" hidden="1">
      <c r="A121" s="129"/>
      <c r="B121" s="129" t="str">
        <f ca="1">IFERROR(__xludf.DUMMYFUNCTION("""COMPUTED_VALUE"""),"WEEK 44/2025")</f>
        <v>WEEK 44/2025</v>
      </c>
      <c r="C121" s="132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121" s="129"/>
      <c r="E121" s="129"/>
      <c r="F121" s="129"/>
      <c r="G121" s="129"/>
      <c r="H121" s="129"/>
      <c r="I121" s="162"/>
      <c r="J121" s="162"/>
      <c r="K121" s="162"/>
      <c r="L121" s="129"/>
      <c r="M121" s="129"/>
    </row>
    <row r="122" spans="1:13" ht="18.75" hidden="1">
      <c r="A122" s="129"/>
      <c r="B122" s="129"/>
      <c r="C122" s="132"/>
      <c r="D122" s="129"/>
      <c r="E122" s="129"/>
      <c r="F122" s="129"/>
      <c r="G122" s="129"/>
      <c r="H122" s="129"/>
      <c r="I122" s="162"/>
      <c r="J122" s="162"/>
      <c r="K122" s="162"/>
      <c r="L122" s="129"/>
      <c r="M122" s="129"/>
    </row>
    <row r="123" spans="1:13" ht="18.75" hidden="1">
      <c r="A123" s="129" t="str">
        <f ca="1">IFERROR(__xludf.DUMMYFUNCTION("""COMPUTED_VALUE"""),"SERVICE")</f>
        <v>SERVICE</v>
      </c>
      <c r="B123" s="129" t="str">
        <f ca="1">IFERROR(__xludf.DUMMYFUNCTION("""COMPUTED_VALUE"""),"VESSEL NAME")</f>
        <v>VESSEL NAME</v>
      </c>
      <c r="C123" s="132" t="str">
        <f ca="1">IFERROR(__xludf.DUMMYFUNCTION("""COMPUTED_VALUE"""),"PORT")</f>
        <v>PORT</v>
      </c>
      <c r="D123" s="129" t="str">
        <f ca="1">IFERROR(__xludf.DUMMYFUNCTION("""COMPUTED_VALUE"""),"PERFOMA ETD")</f>
        <v>PERFOMA ETD</v>
      </c>
      <c r="E123" s="129" t="str">
        <f ca="1">IFERROR(__xludf.DUMMYFUNCTION("""COMPUTED_VALUE"""),"EX.RATE/DATE/")</f>
        <v>EX.RATE/DATE/</v>
      </c>
      <c r="F123" s="129" t="str">
        <f ca="1">IFERROR(__xludf.DUMMYFUNCTION("""COMPUTED_VALUE"""),"SI CUT OFF USA,MX")</f>
        <v>SI CUT OFF USA,MX</v>
      </c>
      <c r="G123" s="129" t="str">
        <f ca="1">IFERROR(__xludf.DUMMYFUNCTION("""COMPUTED_VALUE"""),"SI CUT OFF")</f>
        <v>SI CUT OFF</v>
      </c>
      <c r="H123" s="129" t="str">
        <f ca="1">IFERROR(__xludf.DUMMYFUNCTION("""COMPUTED_VALUE"""),"B/L CFM USA,MX")</f>
        <v>B/L CFM USA,MX</v>
      </c>
      <c r="I123" s="162" t="str">
        <f ca="1">IFERROR(__xludf.DUMMYFUNCTION("""COMPUTED_VALUE"""),"B/L CFM CHINA,JP,VN")</f>
        <v>B/L CFM CHINA,JP,VN</v>
      </c>
      <c r="J123" s="162" t="str">
        <f ca="1">IFERROR(__xludf.DUMMYFUNCTION("""COMPUTED_VALUE"""),"B/L CONFIRM")</f>
        <v>B/L CONFIRM</v>
      </c>
      <c r="K123" s="162" t="str">
        <f ca="1">IFERROR(__xludf.DUMMYFUNCTION("""COMPUTED_VALUE"""),"ETD")</f>
        <v>ETD</v>
      </c>
      <c r="L123" s="129" t="str">
        <f ca="1">IFERROR(__xludf.DUMMYFUNCTION("""COMPUTED_VALUE"""),"ATD")</f>
        <v>ATD</v>
      </c>
      <c r="M123" s="129" t="str">
        <f ca="1">IFERROR(__xludf.DUMMYFUNCTION("""COMPUTED_VALUE"""),"B/L ISSUED DATE")</f>
        <v>B/L ISSUED DATE</v>
      </c>
    </row>
    <row r="124" spans="1:13" ht="18.75" hidden="1">
      <c r="A124" s="129"/>
      <c r="B124" s="129"/>
      <c r="C124" s="132"/>
      <c r="D124" s="129"/>
      <c r="E124" s="129" t="str">
        <f ca="1">IFERROR(__xludf.DUMMYFUNCTION("""COMPUTED_VALUE"""),"BANGKOK BANK")</f>
        <v>BANGKOK BANK</v>
      </c>
      <c r="F124" s="129" t="str">
        <f ca="1">IFERROR(__xludf.DUMMYFUNCTION("""COMPUTED_VALUE"""),"4 days before ETD")</f>
        <v>4 days before ETD</v>
      </c>
      <c r="G124" s="129"/>
      <c r="H124" s="129" t="str">
        <f ca="1">IFERROR(__xludf.DUMMYFUNCTION("""COMPUTED_VALUE"""),"3 days before ETD")</f>
        <v>3 days before ETD</v>
      </c>
      <c r="I124" s="162" t="str">
        <f ca="1">IFERROR(__xludf.DUMMYFUNCTION("""COMPUTED_VALUE"""),"Direct port CUT OFF")</f>
        <v>Direct port CUT OFF</v>
      </c>
      <c r="J124" s="162" t="str">
        <f ca="1">IFERROR(__xludf.DUMMYFUNCTION("""COMPUTED_VALUE"""),"Orther port CUT OFF")</f>
        <v>Orther port CUT OFF</v>
      </c>
      <c r="K124" s="162" t="str">
        <f ca="1">IFERROR(__xludf.DUMMYFUNCTION("""COMPUTED_VALUE"""),"ON BOARD DATE")</f>
        <v>ON BOARD DATE</v>
      </c>
      <c r="L124" s="129" t="str">
        <f ca="1">IFERROR(__xludf.DUMMYFUNCTION("""COMPUTED_VALUE"""),"วันเรือออกจริง")</f>
        <v>วันเรือออกจริง</v>
      </c>
      <c r="M124" s="129" t="str">
        <f ca="1">IFERROR(__xludf.DUMMYFUNCTION("""COMPUTED_VALUE"""),"วันปล่อยบีแอล")</f>
        <v>วันปล่อยบีแอล</v>
      </c>
    </row>
    <row r="125" spans="1:13" ht="18.75" hidden="1">
      <c r="A125" s="129"/>
      <c r="B125" s="129"/>
      <c r="C125" s="132"/>
      <c r="D125" s="129"/>
      <c r="E125" s="129"/>
      <c r="F125" s="129"/>
      <c r="G125" s="129" t="str">
        <f ca="1">IFERROR(__xludf.DUMMYFUNCTION("""COMPUTED_VALUE"""),"3 days before ETD")</f>
        <v>3 days before ETD</v>
      </c>
      <c r="H125" s="129"/>
      <c r="I125" s="162" t="str">
        <f ca="1">IFERROR(__xludf.DUMMYFUNCTION("""COMPUTED_VALUE"""),"2 days before ETD")</f>
        <v>2 days before ETD</v>
      </c>
      <c r="J125" s="162" t="str">
        <f ca="1">IFERROR(__xludf.DUMMYFUNCTION("""COMPUTED_VALUE"""),"1 days before ETD")</f>
        <v>1 days before ETD</v>
      </c>
      <c r="K125" s="162" t="str">
        <f ca="1">IFERROR(__xludf.DUMMYFUNCTION("""COMPUTED_VALUE"""),"SHOW ON B/L")</f>
        <v>SHOW ON B/L</v>
      </c>
      <c r="L125" s="129"/>
      <c r="M125" s="129"/>
    </row>
    <row r="126" spans="1:13" ht="18.75" hidden="1">
      <c r="A126" s="129" t="str">
        <f ca="1">IFERROR(__xludf.DUMMYFUNCTION("""COMPUTED_VALUE"""),"TRX")</f>
        <v>TRX</v>
      </c>
      <c r="B126" s="129" t="str">
        <f ca="1">IFERROR(__xludf.DUMMYFUNCTION("""COMPUTED_VALUE"""),"CHANA BHUM V.907N")</f>
        <v>CHANA BHUM V.907N</v>
      </c>
      <c r="C126" s="132" t="str">
        <f ca="1">IFERROR(__xludf.DUMMYFUNCTION("""COMPUTED_VALUE"""),"THBKK")</f>
        <v>THBKK</v>
      </c>
      <c r="D126" s="129" t="str">
        <f ca="1">IFERROR(__xludf.DUMMYFUNCTION("""COMPUTED_VALUE"""),"21/10/2025 19:30")</f>
        <v>21/10/2025 19:30</v>
      </c>
      <c r="E126" s="129" t="str">
        <f ca="1">IFERROR(__xludf.DUMMYFUNCTION("""COMPUTED_VALUE"""),"32.95 20/10/2025")</f>
        <v>32.95 20/10/2025</v>
      </c>
      <c r="F126" s="129" t="str">
        <f ca="1">IFERROR(__xludf.DUMMYFUNCTION("""COMPUTED_VALUE"""),"25/10/2025 15:00")</f>
        <v>25/10/2025 15:00</v>
      </c>
      <c r="G126" s="129" t="str">
        <f ca="1">IFERROR(__xludf.DUMMYFUNCTION("""COMPUTED_VALUE"""),"26/10/2025 15:00")</f>
        <v>26/10/2025 15:00</v>
      </c>
      <c r="H126" s="129" t="str">
        <f ca="1">IFERROR(__xludf.DUMMYFUNCTION("""COMPUTED_VALUE"""),"26/10/2025 15:00")</f>
        <v>26/10/2025 15:00</v>
      </c>
      <c r="I126" s="162" t="str">
        <f ca="1">IFERROR(__xludf.DUMMYFUNCTION("""COMPUTED_VALUE"""),"27/10/2025 15:00")</f>
        <v>27/10/2025 15:00</v>
      </c>
      <c r="J126" s="162" t="str">
        <f ca="1">IFERROR(__xludf.DUMMYFUNCTION("""COMPUTED_VALUE"""),"28/10/2025 16:00")</f>
        <v>28/10/2025 16:00</v>
      </c>
      <c r="K126" s="162" t="str">
        <f ca="1">IFERROR(__xludf.DUMMYFUNCTION("""COMPUTED_VALUE"""),"29/10/2025 05:00")</f>
        <v>29/10/2025 05:00</v>
      </c>
      <c r="L126" s="129" t="str">
        <f ca="1">IFERROR(__xludf.DUMMYFUNCTION("""COMPUTED_VALUE"""),"29/10/2025 06:00")</f>
        <v>29/10/2025 06:00</v>
      </c>
      <c r="M126" s="129" t="str">
        <f ca="1">IFERROR(__xludf.DUMMYFUNCTION("""COMPUTED_VALUE"""),"29/10/2025 NOON")</f>
        <v>29/10/2025 NOON</v>
      </c>
    </row>
    <row r="127" spans="1:13" ht="18.75" hidden="1">
      <c r="A127" s="129"/>
      <c r="B127" s="129"/>
      <c r="C127" s="132" t="str">
        <f ca="1">IFERROR(__xludf.DUMMYFUNCTION("""COMPUTED_VALUE"""),"THLCB")</f>
        <v>THLCB</v>
      </c>
      <c r="D127" s="129" t="str">
        <f ca="1">IFERROR(__xludf.DUMMYFUNCTION("""COMPUTED_VALUE"""),"23/10/2025 09:00")</f>
        <v>23/10/2025 09:00</v>
      </c>
      <c r="E127" s="129"/>
      <c r="F127" s="129" t="str">
        <f ca="1">IFERROR(__xludf.DUMMYFUNCTION("""COMPUTED_VALUE"""),"25/10/2025 15:00")</f>
        <v>25/10/2025 15:00</v>
      </c>
      <c r="G127" s="129" t="str">
        <f ca="1">IFERROR(__xludf.DUMMYFUNCTION("""COMPUTED_VALUE"""),"26/10/2025 15:00")</f>
        <v>26/10/2025 15:00</v>
      </c>
      <c r="H127" s="129" t="str">
        <f ca="1">IFERROR(__xludf.DUMMYFUNCTION("""COMPUTED_VALUE"""),"26/10/2025 15:00")</f>
        <v>26/10/2025 15:00</v>
      </c>
      <c r="I127" s="162" t="str">
        <f ca="1">IFERROR(__xludf.DUMMYFUNCTION("""COMPUTED_VALUE"""),"27/10/2025 15:00")</f>
        <v>27/10/2025 15:00</v>
      </c>
      <c r="J127" s="162" t="str">
        <f ca="1">IFERROR(__xludf.DUMMYFUNCTION("""COMPUTED_VALUE"""),"28/10/2025 16:00")</f>
        <v>28/10/2025 16:00</v>
      </c>
      <c r="K127" s="162" t="str">
        <f ca="1">IFERROR(__xludf.DUMMYFUNCTION("""COMPUTED_VALUE"""),"29/10/2025 17:00")</f>
        <v>29/10/2025 17:00</v>
      </c>
      <c r="L127" s="129" t="str">
        <f ca="1">IFERROR(__xludf.DUMMYFUNCTION("""COMPUTED_VALUE"""),"29/10/2025 17:00")</f>
        <v>29/10/2025 17:00</v>
      </c>
      <c r="M127" s="129" t="str">
        <f ca="1">IFERROR(__xludf.DUMMYFUNCTION("""COMPUTED_VALUE"""),"30/10/2025 MORNING")</f>
        <v>30/10/2025 MORNING</v>
      </c>
    </row>
    <row r="128" spans="1:13" ht="18.75" hidden="1">
      <c r="A128" s="129" t="str">
        <f ca="1">IFERROR(__xludf.DUMMYFUNCTION("""COMPUTED_VALUE"""),"CHT")</f>
        <v>CHT</v>
      </c>
      <c r="B128" s="129" t="str">
        <f ca="1">IFERROR(__xludf.DUMMYFUNCTION("""COMPUTED_VALUE"""),"TS TIANJIN V.25011N")</f>
        <v>TS TIANJIN V.25011N</v>
      </c>
      <c r="C128" s="132" t="str">
        <f ca="1">IFERROR(__xludf.DUMMYFUNCTION("""COMPUTED_VALUE"""),"THBKK")</f>
        <v>THBKK</v>
      </c>
      <c r="D128" s="129" t="str">
        <f ca="1">IFERROR(__xludf.DUMMYFUNCTION("""COMPUTED_VALUE"""),"22/10/2025 08:00")</f>
        <v>22/10/2025 08:00</v>
      </c>
      <c r="E128" s="129" t="str">
        <f ca="1">IFERROR(__xludf.DUMMYFUNCTION("""COMPUTED_VALUE"""),"32.9 17/10/2025")</f>
        <v>32.9 17/10/2025</v>
      </c>
      <c r="F128" s="129" t="str">
        <f ca="1">IFERROR(__xludf.DUMMYFUNCTION("""COMPUTED_VALUE"""),"24/10/2025 15:00")</f>
        <v>24/10/2025 15:00</v>
      </c>
      <c r="G128" s="129" t="str">
        <f ca="1">IFERROR(__xludf.DUMMYFUNCTION("""COMPUTED_VALUE"""),"24/10/2025 15:00")</f>
        <v>24/10/2025 15:00</v>
      </c>
      <c r="H128" s="129" t="str">
        <f ca="1">IFERROR(__xludf.DUMMYFUNCTION("""COMPUTED_VALUE"""),"24/10/2025 15:00")</f>
        <v>24/10/2025 15:00</v>
      </c>
      <c r="I128" s="162" t="str">
        <f ca="1">IFERROR(__xludf.DUMMYFUNCTION("""COMPUTED_VALUE"""),"24/10/2025 15:00")</f>
        <v>24/10/2025 15:00</v>
      </c>
      <c r="J128" s="162" t="str">
        <f ca="1">IFERROR(__xludf.DUMMYFUNCTION("""COMPUTED_VALUE"""),"24/10/2025 16:00")</f>
        <v>24/10/2025 16:00</v>
      </c>
      <c r="K128" s="162" t="str">
        <f ca="1">IFERROR(__xludf.DUMMYFUNCTION("""COMPUTED_VALUE"""),"27/10/2025 07:00")</f>
        <v>27/10/2025 07:00</v>
      </c>
      <c r="L128" s="129" t="str">
        <f ca="1">IFERROR(__xludf.DUMMYFUNCTION("""COMPUTED_VALUE"""),"27/10/2025 06:00")</f>
        <v>27/10/2025 06:00</v>
      </c>
      <c r="M128" s="129" t="str">
        <f ca="1">IFERROR(__xludf.DUMMYFUNCTION("""COMPUTED_VALUE"""),"27/10/2025 NOON")</f>
        <v>27/10/2025 NOON</v>
      </c>
    </row>
    <row r="129" spans="1:13" ht="18.75" hidden="1">
      <c r="A129" s="129"/>
      <c r="B129" s="129"/>
      <c r="C129" s="132" t="str">
        <f ca="1">IFERROR(__xludf.DUMMYFUNCTION("""COMPUTED_VALUE"""),"THLCB")</f>
        <v>THLCB</v>
      </c>
      <c r="D129" s="129" t="str">
        <f ca="1">IFERROR(__xludf.DUMMYFUNCTION("""COMPUTED_VALUE"""),"23/10/2025 04:00")</f>
        <v>23/10/2025 04:00</v>
      </c>
      <c r="E129" s="129"/>
      <c r="F129" s="129" t="str">
        <f ca="1">IFERROR(__xludf.DUMMYFUNCTION("""COMPUTED_VALUE"""),"24/10/2025 15:00")</f>
        <v>24/10/2025 15:00</v>
      </c>
      <c r="G129" s="129" t="str">
        <f ca="1">IFERROR(__xludf.DUMMYFUNCTION("""COMPUTED_VALUE"""),"24/10/2025 15:00")</f>
        <v>24/10/2025 15:00</v>
      </c>
      <c r="H129" s="129" t="str">
        <f ca="1">IFERROR(__xludf.DUMMYFUNCTION("""COMPUTED_VALUE"""),"24/10/2025 15:00")</f>
        <v>24/10/2025 15:00</v>
      </c>
      <c r="I129" s="162" t="str">
        <f ca="1">IFERROR(__xludf.DUMMYFUNCTION("""COMPUTED_VALUE"""),"27/10/2025 15:00")</f>
        <v>27/10/2025 15:00</v>
      </c>
      <c r="J129" s="162" t="str">
        <f ca="1">IFERROR(__xludf.DUMMYFUNCTION("""COMPUTED_VALUE"""),"27/10/2025 16:00")</f>
        <v>27/10/2025 16:00</v>
      </c>
      <c r="K129" s="162" t="str">
        <f ca="1">IFERROR(__xludf.DUMMYFUNCTION("""COMPUTED_VALUE"""),"28/10/2025 01:00")</f>
        <v>28/10/2025 01:00</v>
      </c>
      <c r="L129" s="129" t="str">
        <f ca="1">IFERROR(__xludf.DUMMYFUNCTION("""COMPUTED_VALUE"""),"27/10/2025 23:00")</f>
        <v>27/10/2025 23:00</v>
      </c>
      <c r="M129" s="129" t="str">
        <f ca="1">IFERROR(__xludf.DUMMYFUNCTION("""COMPUTED_VALUE"""),"28/10/2025 MORNING")</f>
        <v>28/10/2025 MORNING</v>
      </c>
    </row>
    <row r="130" spans="1:13" ht="18.75" hidden="1">
      <c r="A130" s="129" t="str">
        <f ca="1">IFERROR(__xludf.DUMMYFUNCTION("""COMPUTED_VALUE"""),"CHT")</f>
        <v>CHT</v>
      </c>
      <c r="B130" s="129" t="str">
        <f ca="1">IFERROR(__xludf.DUMMYFUNCTION("""COMPUTED_VALUE"""),"KMTC TAIPEIS V.2512N")</f>
        <v>KMTC TAIPEIS V.2512N</v>
      </c>
      <c r="C130" s="132" t="str">
        <f ca="1">IFERROR(__xludf.DUMMYFUNCTION("""COMPUTED_VALUE"""),"THBKK")</f>
        <v>THBKK</v>
      </c>
      <c r="D130" s="129" t="str">
        <f ca="1">IFERROR(__xludf.DUMMYFUNCTION("""COMPUTED_VALUE"""),"29/10/2025 08:00")</f>
        <v>29/10/2025 08:00</v>
      </c>
      <c r="E130" s="129" t="str">
        <f ca="1">IFERROR(__xludf.DUMMYFUNCTION("""COMPUTED_VALUE"""),"33.1 22/10/2025")</f>
        <v>33.1 22/10/2025</v>
      </c>
      <c r="F130" s="129" t="str">
        <f ca="1">IFERROR(__xludf.DUMMYFUNCTION("""COMPUTED_VALUE"""),"27/10/2025 15:00")</f>
        <v>27/10/2025 15:00</v>
      </c>
      <c r="G130" s="129" t="str">
        <f ca="1">IFERROR(__xludf.DUMMYFUNCTION("""COMPUTED_VALUE"""),"28/10/2025 15:00")</f>
        <v>28/10/2025 15:00</v>
      </c>
      <c r="H130" s="129" t="str">
        <f ca="1">IFERROR(__xludf.DUMMYFUNCTION("""COMPUTED_VALUE"""),"28/10/2025 15:00")</f>
        <v>28/10/2025 15:00</v>
      </c>
      <c r="I130" s="162" t="str">
        <f ca="1">IFERROR(__xludf.DUMMYFUNCTION("""COMPUTED_VALUE"""),"29/10/2025 15:00")</f>
        <v>29/10/2025 15:00</v>
      </c>
      <c r="J130" s="162" t="str">
        <f ca="1">IFERROR(__xludf.DUMMYFUNCTION("""COMPUTED_VALUE"""),"30/10/2025 16:00")</f>
        <v>30/10/2025 16:00</v>
      </c>
      <c r="K130" s="162" t="str">
        <f ca="1">IFERROR(__xludf.DUMMYFUNCTION("""COMPUTED_VALUE"""),"31/10/2025 14:00")</f>
        <v>31/10/2025 14:00</v>
      </c>
      <c r="L130" s="129" t="str">
        <f ca="1">IFERROR(__xludf.DUMMYFUNCTION("""COMPUTED_VALUE"""),"31/10/2025 14:00")</f>
        <v>31/10/2025 14:00</v>
      </c>
      <c r="M130" s="129" t="str">
        <f ca="1">IFERROR(__xludf.DUMMYFUNCTION("""COMPUTED_VALUE"""),"03/11/2025 MORNING")</f>
        <v>03/11/2025 MORNING</v>
      </c>
    </row>
    <row r="131" spans="1:13" ht="18.75" hidden="1">
      <c r="A131" s="129"/>
      <c r="B131" s="178"/>
      <c r="C131" s="132" t="str">
        <f ca="1">IFERROR(__xludf.DUMMYFUNCTION("""COMPUTED_VALUE"""),"THLCB")</f>
        <v>THLCB</v>
      </c>
      <c r="D131" s="129" t="str">
        <f ca="1">IFERROR(__xludf.DUMMYFUNCTION("""COMPUTED_VALUE"""),"30/10/2025 04:00")</f>
        <v>30/10/2025 04:00</v>
      </c>
      <c r="E131" s="129"/>
      <c r="F131" s="129" t="str">
        <f ca="1">IFERROR(__xludf.DUMMYFUNCTION("""COMPUTED_VALUE"""),"28/10/2025 15:00")</f>
        <v>28/10/2025 15:00</v>
      </c>
      <c r="G131" s="129" t="str">
        <f ca="1">IFERROR(__xludf.DUMMYFUNCTION("""COMPUTED_VALUE"""),"29/10/2025 15:00")</f>
        <v>29/10/2025 15:00</v>
      </c>
      <c r="H131" s="129" t="str">
        <f ca="1">IFERROR(__xludf.DUMMYFUNCTION("""COMPUTED_VALUE"""),"29/10/2025 15:00")</f>
        <v>29/10/2025 15:00</v>
      </c>
      <c r="I131" s="162" t="str">
        <f ca="1">IFERROR(__xludf.DUMMYFUNCTION("""COMPUTED_VALUE"""),"30/10/2025 15:00")</f>
        <v>30/10/2025 15:00</v>
      </c>
      <c r="J131" s="162" t="str">
        <f ca="1">IFERROR(__xludf.DUMMYFUNCTION("""COMPUTED_VALUE"""),"31/10/2025 16:00")</f>
        <v>31/10/2025 16:00</v>
      </c>
      <c r="K131" s="246">
        <f ca="1">IFERROR(__xludf.DUMMYFUNCTION("""COMPUTED_VALUE"""),45668.4166666666)</f>
        <v>45668.416666666599</v>
      </c>
      <c r="L131" s="238">
        <f ca="1">IFERROR(__xludf.DUMMYFUNCTION("""COMPUTED_VALUE"""),45668.375)</f>
        <v>45668.375</v>
      </c>
      <c r="M131" s="129" t="str">
        <f ca="1">IFERROR(__xludf.DUMMYFUNCTION("""COMPUTED_VALUE"""),"03/11/2025 MORNING")</f>
        <v>03/11/2025 MORNING</v>
      </c>
    </row>
    <row r="132" spans="1:13" ht="18.75" hidden="1">
      <c r="A132" s="129" t="str">
        <f ca="1">IFERROR(__xludf.DUMMYFUNCTION("""COMPUTED_VALUE"""),"JTX")</f>
        <v>JTX</v>
      </c>
      <c r="B132" s="129" t="str">
        <f ca="1">IFERROR(__xludf.DUMMYFUNCTION("""COMPUTED_VALUE"""),"HAIAN EAST V.0QIM0N")</f>
        <v>HAIAN EAST V.0QIM0N</v>
      </c>
      <c r="C132" s="132" t="str">
        <f ca="1">IFERROR(__xludf.DUMMYFUNCTION("""COMPUTED_VALUE"""),"THLCB")</f>
        <v>THLCB</v>
      </c>
      <c r="D132" s="129" t="str">
        <f ca="1">IFERROR(__xludf.DUMMYFUNCTION("""COMPUTED_VALUE"""),"24/10/2025 22:00")</f>
        <v>24/10/2025 22:00</v>
      </c>
      <c r="E132" s="129" t="str">
        <f ca="1">IFERROR(__xludf.DUMMYFUNCTION("""COMPUTED_VALUE"""),"32.95 20/10/2025")</f>
        <v>32.95 20/10/2025</v>
      </c>
      <c r="F132" s="129" t="str">
        <f ca="1">IFERROR(__xludf.DUMMYFUNCTION("""COMPUTED_VALUE"""),"26/10/2025 15:00")</f>
        <v>26/10/2025 15:00</v>
      </c>
      <c r="G132" s="129" t="str">
        <f ca="1">IFERROR(__xludf.DUMMYFUNCTION("""COMPUTED_VALUE"""),"27/10/2025 15:00")</f>
        <v>27/10/2025 15:00</v>
      </c>
      <c r="H132" s="129" t="str">
        <f ca="1">IFERROR(__xludf.DUMMYFUNCTION("""COMPUTED_VALUE"""),"27/10/2025 15:00")</f>
        <v>27/10/2025 15:00</v>
      </c>
      <c r="I132" s="162" t="str">
        <f ca="1">IFERROR(__xludf.DUMMYFUNCTION("""COMPUTED_VALUE"""),"28/10/2025 15:00")</f>
        <v>28/10/2025 15:00</v>
      </c>
      <c r="J132" s="162" t="str">
        <f ca="1">IFERROR(__xludf.DUMMYFUNCTION("""COMPUTED_VALUE"""),"29/10/2025 16:00")</f>
        <v>29/10/2025 16:00</v>
      </c>
      <c r="K132" s="162" t="str">
        <f ca="1">IFERROR(__xludf.DUMMYFUNCTION("""COMPUTED_VALUE"""),"30/10/2025 04:00")</f>
        <v>30/10/2025 04:00</v>
      </c>
      <c r="L132" s="129" t="str">
        <f ca="1">IFERROR(__xludf.DUMMYFUNCTION("""COMPUTED_VALUE"""),"30/10/2025 06:00")</f>
        <v>30/10/2025 06:00</v>
      </c>
      <c r="M132" s="129" t="str">
        <f ca="1">IFERROR(__xludf.DUMMYFUNCTION("""COMPUTED_VALUE"""),"30/10/2025 NOON")</f>
        <v>30/10/2025 NOON</v>
      </c>
    </row>
    <row r="133" spans="1:13" ht="18.75" hidden="1">
      <c r="A133" s="75"/>
      <c r="B133" s="75"/>
      <c r="C133" s="78"/>
      <c r="D133" s="83"/>
      <c r="E133" s="75"/>
      <c r="F133" s="75"/>
      <c r="G133" s="75"/>
      <c r="H133" s="75"/>
      <c r="I133" s="83"/>
      <c r="J133" s="83"/>
      <c r="K133" s="75"/>
      <c r="L133" s="75"/>
      <c r="M133" s="75"/>
    </row>
    <row r="134" spans="1:13" ht="18.75" hidden="1">
      <c r="A134" s="129"/>
      <c r="B134" s="129"/>
      <c r="C134" s="132"/>
      <c r="D134" s="129"/>
      <c r="E134" s="129"/>
      <c r="F134" s="129"/>
      <c r="G134" s="129"/>
      <c r="H134" s="129"/>
      <c r="I134" s="162"/>
      <c r="J134" s="162"/>
      <c r="K134" s="162"/>
      <c r="L134" s="129"/>
      <c r="M134" s="129"/>
    </row>
    <row r="135" spans="1:13" ht="18.75" hidden="1">
      <c r="A135" s="129"/>
      <c r="B135" s="129" t="str">
        <f ca="1">IFERROR(__xludf.DUMMYFUNCTION("""COMPUTED_VALUE"""),"WEEK 43/2025")</f>
        <v>WEEK 43/2025</v>
      </c>
      <c r="C135" s="132" t="str">
        <f ca="1">IFERROR(__xludf.DUMMYFUNCTION("""COMPUTED_VALUE"""),"HOLIDAYS 23 OCT 2025 Chulalongkorn Day")</f>
        <v>HOLIDAYS 23 OCT 2025 Chulalongkorn Day</v>
      </c>
      <c r="D135" s="129"/>
      <c r="E135" s="129"/>
      <c r="F135" s="129"/>
      <c r="G135" s="129"/>
      <c r="H135" s="129"/>
      <c r="I135" s="162"/>
      <c r="J135" s="162"/>
      <c r="K135" s="162"/>
      <c r="L135" s="129"/>
      <c r="M135" s="129"/>
    </row>
    <row r="136" spans="1:13" ht="18.75" hidden="1">
      <c r="A136" s="129" t="str">
        <f ca="1">IFERROR(__xludf.DUMMYFUNCTION("""COMPUTED_VALUE"""),"SERVICE")</f>
        <v>SERVICE</v>
      </c>
      <c r="B136" s="129" t="str">
        <f ca="1">IFERROR(__xludf.DUMMYFUNCTION("""COMPUTED_VALUE"""),"VESSEL NAME")</f>
        <v>VESSEL NAME</v>
      </c>
      <c r="C136" s="132" t="str">
        <f ca="1">IFERROR(__xludf.DUMMYFUNCTION("""COMPUTED_VALUE"""),"PORT")</f>
        <v>PORT</v>
      </c>
      <c r="D136" s="129" t="str">
        <f ca="1">IFERROR(__xludf.DUMMYFUNCTION("""COMPUTED_VALUE"""),"PERFOMA ETD")</f>
        <v>PERFOMA ETD</v>
      </c>
      <c r="E136" s="129" t="str">
        <f ca="1">IFERROR(__xludf.DUMMYFUNCTION("""COMPUTED_VALUE"""),"EX.RATE/DATE/")</f>
        <v>EX.RATE/DATE/</v>
      </c>
      <c r="F136" s="129" t="str">
        <f ca="1">IFERROR(__xludf.DUMMYFUNCTION("""COMPUTED_VALUE"""),"SI CUT OFF USA,MX")</f>
        <v>SI CUT OFF USA,MX</v>
      </c>
      <c r="G136" s="129" t="str">
        <f ca="1">IFERROR(__xludf.DUMMYFUNCTION("""COMPUTED_VALUE"""),"SI CUT OFF")</f>
        <v>SI CUT OFF</v>
      </c>
      <c r="H136" s="129" t="str">
        <f ca="1">IFERROR(__xludf.DUMMYFUNCTION("""COMPUTED_VALUE"""),"B/L CFM USA,MX")</f>
        <v>B/L CFM USA,MX</v>
      </c>
      <c r="I136" s="162" t="str">
        <f ca="1">IFERROR(__xludf.DUMMYFUNCTION("""COMPUTED_VALUE"""),"B/L CFM CHINA,JP,VN")</f>
        <v>B/L CFM CHINA,JP,VN</v>
      </c>
      <c r="J136" s="162" t="str">
        <f ca="1">IFERROR(__xludf.DUMMYFUNCTION("""COMPUTED_VALUE"""),"B/L CONFIRM")</f>
        <v>B/L CONFIRM</v>
      </c>
      <c r="K136" s="162" t="str">
        <f ca="1">IFERROR(__xludf.DUMMYFUNCTION("""COMPUTED_VALUE"""),"ETD")</f>
        <v>ETD</v>
      </c>
      <c r="L136" s="129" t="str">
        <f ca="1">IFERROR(__xludf.DUMMYFUNCTION("""COMPUTED_VALUE"""),"ATD")</f>
        <v>ATD</v>
      </c>
      <c r="M136" s="129" t="str">
        <f ca="1">IFERROR(__xludf.DUMMYFUNCTION("""COMPUTED_VALUE"""),"B/L ISSUED DATE")</f>
        <v>B/L ISSUED DATE</v>
      </c>
    </row>
    <row r="137" spans="1:13" ht="18.75" hidden="1">
      <c r="A137" s="129"/>
      <c r="B137" s="129"/>
      <c r="C137" s="132"/>
      <c r="D137" s="129"/>
      <c r="E137" s="129" t="str">
        <f ca="1">IFERROR(__xludf.DUMMYFUNCTION("""COMPUTED_VALUE"""),"BANGKOK BANK")</f>
        <v>BANGKOK BANK</v>
      </c>
      <c r="F137" s="129" t="str">
        <f ca="1">IFERROR(__xludf.DUMMYFUNCTION("""COMPUTED_VALUE"""),"4 days before ETD")</f>
        <v>4 days before ETD</v>
      </c>
      <c r="G137" s="129"/>
      <c r="H137" s="129" t="str">
        <f ca="1">IFERROR(__xludf.DUMMYFUNCTION("""COMPUTED_VALUE"""),"3 days before ETD")</f>
        <v>3 days before ETD</v>
      </c>
      <c r="I137" s="162" t="str">
        <f ca="1">IFERROR(__xludf.DUMMYFUNCTION("""COMPUTED_VALUE"""),"Direct port CUT OFF")</f>
        <v>Direct port CUT OFF</v>
      </c>
      <c r="J137" s="162" t="str">
        <f ca="1">IFERROR(__xludf.DUMMYFUNCTION("""COMPUTED_VALUE"""),"Orther port CUT OFF")</f>
        <v>Orther port CUT OFF</v>
      </c>
      <c r="K137" s="162" t="str">
        <f ca="1">IFERROR(__xludf.DUMMYFUNCTION("""COMPUTED_VALUE"""),"ON BOARD DATE")</f>
        <v>ON BOARD DATE</v>
      </c>
      <c r="L137" s="129" t="str">
        <f ca="1">IFERROR(__xludf.DUMMYFUNCTION("""COMPUTED_VALUE"""),"วันเรือออกจริง")</f>
        <v>วันเรือออกจริง</v>
      </c>
      <c r="M137" s="129" t="str">
        <f ca="1">IFERROR(__xludf.DUMMYFUNCTION("""COMPUTED_VALUE"""),"วันปล่อยบีแอล")</f>
        <v>วันปล่อยบีแอล</v>
      </c>
    </row>
    <row r="138" spans="1:13" ht="18.75" hidden="1">
      <c r="A138" s="129"/>
      <c r="B138" s="129"/>
      <c r="C138" s="132"/>
      <c r="D138" s="129"/>
      <c r="E138" s="129"/>
      <c r="F138" s="129"/>
      <c r="G138" s="129" t="str">
        <f ca="1">IFERROR(__xludf.DUMMYFUNCTION("""COMPUTED_VALUE"""),"3 days before ETD")</f>
        <v>3 days before ETD</v>
      </c>
      <c r="H138" s="129"/>
      <c r="I138" s="162" t="str">
        <f ca="1">IFERROR(__xludf.DUMMYFUNCTION("""COMPUTED_VALUE"""),"2 days before ETD")</f>
        <v>2 days before ETD</v>
      </c>
      <c r="J138" s="162" t="str">
        <f ca="1">IFERROR(__xludf.DUMMYFUNCTION("""COMPUTED_VALUE"""),"1 days before ETD")</f>
        <v>1 days before ETD</v>
      </c>
      <c r="K138" s="162" t="str">
        <f ca="1">IFERROR(__xludf.DUMMYFUNCTION("""COMPUTED_VALUE"""),"SHOW ON B/L")</f>
        <v>SHOW ON B/L</v>
      </c>
      <c r="L138" s="129"/>
      <c r="M138" s="129"/>
    </row>
    <row r="139" spans="1:13" ht="18.75" hidden="1">
      <c r="A139" s="129" t="str">
        <f ca="1">IFERROR(__xludf.DUMMYFUNCTION("""COMPUTED_VALUE"""),"TRX")</f>
        <v>TRX</v>
      </c>
      <c r="B139" s="129" t="str">
        <f ca="1">IFERROR(__xludf.DUMMYFUNCTION("""COMPUTED_VALUE"""),"TS SURABAYA V.25019N")</f>
        <v>TS SURABAYA V.25019N</v>
      </c>
      <c r="C139" s="132" t="str">
        <f ca="1">IFERROR(__xludf.DUMMYFUNCTION("""COMPUTED_VALUE"""),"THBKK")</f>
        <v>THBKK</v>
      </c>
      <c r="D139" s="129" t="str">
        <f ca="1">IFERROR(__xludf.DUMMYFUNCTION("""COMPUTED_VALUE"""),"14/10/2025 19:30")</f>
        <v>14/10/2025 19:30</v>
      </c>
      <c r="E139" s="129" t="str">
        <f ca="1">IFERROR(__xludf.DUMMYFUNCTION("""COMPUTED_VALUE"""),"32.99 14/10/2025")</f>
        <v>32.99 14/10/2025</v>
      </c>
      <c r="F139" s="129" t="str">
        <f ca="1">IFERROR(__xludf.DUMMYFUNCTION("""COMPUTED_VALUE"""),"20/10/2025 15:00")</f>
        <v>20/10/2025 15:00</v>
      </c>
      <c r="G139" s="129" t="str">
        <f ca="1">IFERROR(__xludf.DUMMYFUNCTION("""COMPUTED_VALUE"""),"20/10/2025 15:00")</f>
        <v>20/10/2025 15:00</v>
      </c>
      <c r="H139" s="129" t="str">
        <f ca="1">IFERROR(__xludf.DUMMYFUNCTION("""COMPUTED_VALUE"""),"20/10/2025 15:00")</f>
        <v>20/10/2025 15:00</v>
      </c>
      <c r="I139" s="162" t="str">
        <f ca="1">IFERROR(__xludf.DUMMYFUNCTION("""COMPUTED_VALUE"""),"21/10/2025 15:00")</f>
        <v>21/10/2025 15:00</v>
      </c>
      <c r="J139" s="162" t="str">
        <f ca="1">IFERROR(__xludf.DUMMYFUNCTION("""COMPUTED_VALUE"""),"21/10/2025 16:00")</f>
        <v>21/10/2025 16:00</v>
      </c>
      <c r="K139" s="162" t="str">
        <f ca="1">IFERROR(__xludf.DUMMYFUNCTION("""COMPUTED_VALUE"""),"22/10/2025 15:00")</f>
        <v>22/10/2025 15:00</v>
      </c>
      <c r="L139" s="129" t="str">
        <f ca="1">IFERROR(__xludf.DUMMYFUNCTION("""COMPUTED_VALUE"""),"22/10/2025 15:00")</f>
        <v>22/10/2025 15:00</v>
      </c>
      <c r="M139" s="129" t="str">
        <f ca="1">IFERROR(__xludf.DUMMYFUNCTION("""COMPUTED_VALUE"""),"24/10/2025 MORNING")</f>
        <v>24/10/2025 MORNING</v>
      </c>
    </row>
    <row r="140" spans="1:13" ht="18.75" hidden="1">
      <c r="A140" s="129"/>
      <c r="B140" s="129"/>
      <c r="C140" s="132" t="str">
        <f ca="1">IFERROR(__xludf.DUMMYFUNCTION("""COMPUTED_VALUE"""),"THLCB")</f>
        <v>THLCB</v>
      </c>
      <c r="D140" s="129" t="str">
        <f ca="1">IFERROR(__xludf.DUMMYFUNCTION("""COMPUTED_VALUE"""),"16/10/2025 09:00")</f>
        <v>16/10/2025 09:00</v>
      </c>
      <c r="E140" s="129"/>
      <c r="F140" s="129" t="str">
        <f ca="1">IFERROR(__xludf.DUMMYFUNCTION("""COMPUTED_VALUE"""),"20/10/2025 15:00")</f>
        <v>20/10/2025 15:00</v>
      </c>
      <c r="G140" s="129" t="str">
        <f ca="1">IFERROR(__xludf.DUMMYFUNCTION("""COMPUTED_VALUE"""),"20/10/2025 15:00")</f>
        <v>20/10/2025 15:00</v>
      </c>
      <c r="H140" s="129" t="str">
        <f ca="1">IFERROR(__xludf.DUMMYFUNCTION("""COMPUTED_VALUE"""),"20/10/2025 15:00")</f>
        <v>20/10/2025 15:00</v>
      </c>
      <c r="I140" s="162" t="str">
        <f ca="1">IFERROR(__xludf.DUMMYFUNCTION("""COMPUTED_VALUE"""),"21/10/2025 15:00")</f>
        <v>21/10/2025 15:00</v>
      </c>
      <c r="J140" s="162" t="str">
        <f ca="1">IFERROR(__xludf.DUMMYFUNCTION("""COMPUTED_VALUE"""),"22/10/2025 16:00")</f>
        <v>22/10/2025 16:00</v>
      </c>
      <c r="K140" s="162" t="str">
        <f ca="1">IFERROR(__xludf.DUMMYFUNCTION("""COMPUTED_VALUE"""),"23/10/2025 05:00")</f>
        <v>23/10/2025 05:00</v>
      </c>
      <c r="L140" s="129" t="str">
        <f ca="1">IFERROR(__xludf.DUMMYFUNCTION("""COMPUTED_VALUE"""),"23/10/2025 08:30")</f>
        <v>23/10/2025 08:30</v>
      </c>
      <c r="M140" s="129" t="str">
        <f ca="1">IFERROR(__xludf.DUMMYFUNCTION("""COMPUTED_VALUE"""),"24/10/2025 MORNING")</f>
        <v>24/10/2025 MORNING</v>
      </c>
    </row>
    <row r="141" spans="1:13" ht="18.75" hidden="1">
      <c r="A141" s="129" t="str">
        <f ca="1">IFERROR(__xludf.DUMMYFUNCTION("""COMPUTED_VALUE"""),"MBX")</f>
        <v>MBX</v>
      </c>
      <c r="B141" s="129" t="str">
        <f ca="1">IFERROR(__xludf.DUMMYFUNCTION("""COMPUTED_VALUE"""),"TS DALIAN V.25001E")</f>
        <v>TS DALIAN V.25001E</v>
      </c>
      <c r="C141" s="132" t="str">
        <f ca="1">IFERROR(__xludf.DUMMYFUNCTION("""COMPUTED_VALUE"""),"THLCB")</f>
        <v>THLCB</v>
      </c>
      <c r="D141" s="129" t="str">
        <f ca="1">IFERROR(__xludf.DUMMYFUNCTION("""COMPUTED_VALUE"""),"17/10/2025 04:00")</f>
        <v>17/10/2025 04:00</v>
      </c>
      <c r="E141" s="129" t="str">
        <f ca="1">IFERROR(__xludf.DUMMYFUNCTION("""COMPUTED_VALUE"""),"32.8 16/10/2025")</f>
        <v>32.8 16/10/2025</v>
      </c>
      <c r="F141" s="129" t="str">
        <f ca="1">IFERROR(__xludf.DUMMYFUNCTION("""COMPUTED_VALUE"""),"21/10/2025 15:00")</f>
        <v>21/10/2025 15:00</v>
      </c>
      <c r="G141" s="129" t="str">
        <f ca="1">IFERROR(__xludf.DUMMYFUNCTION("""COMPUTED_VALUE"""),"22/10/2025 15:00")</f>
        <v>22/10/2025 15:00</v>
      </c>
      <c r="H141" s="129" t="str">
        <f ca="1">IFERROR(__xludf.DUMMYFUNCTION("""COMPUTED_VALUE"""),"22/10/2025 15:00")</f>
        <v>22/10/2025 15:00</v>
      </c>
      <c r="I141" s="162" t="str">
        <f ca="1">IFERROR(__xludf.DUMMYFUNCTION("""COMPUTED_VALUE"""),"23/10/2025 15:00")</f>
        <v>23/10/2025 15:00</v>
      </c>
      <c r="J141" s="162" t="str">
        <f ca="1">IFERROR(__xludf.DUMMYFUNCTION("""COMPUTED_VALUE"""),"23/10/2025 16:00")</f>
        <v>23/10/2025 16:00</v>
      </c>
      <c r="K141" s="162" t="str">
        <f ca="1">IFERROR(__xludf.DUMMYFUNCTION("""COMPUTED_VALUE"""),"24/10/2025 15:00")</f>
        <v>24/10/2025 15:00</v>
      </c>
      <c r="L141" s="129" t="str">
        <f ca="1">IFERROR(__xludf.DUMMYFUNCTION("""COMPUTED_VALUE"""),"24/10/2025 18:30")</f>
        <v>24/10/2025 18:30</v>
      </c>
      <c r="M141" s="129" t="str">
        <f ca="1">IFERROR(__xludf.DUMMYFUNCTION("""COMPUTED_VALUE"""),"27/10/2025 MORNING")</f>
        <v>27/10/2025 MORNING</v>
      </c>
    </row>
    <row r="142" spans="1:13" ht="18.75" hidden="1">
      <c r="A142" s="129" t="str">
        <f ca="1">IFERROR(__xludf.DUMMYFUNCTION("""COMPUTED_VALUE"""),"JTX")</f>
        <v>JTX</v>
      </c>
      <c r="B142" s="129" t="str">
        <f ca="1">IFERROR(__xludf.DUMMYFUNCTION("""COMPUTED_VALUE"""),"TS NAGOYA V.25015N")</f>
        <v>TS NAGOYA V.25015N</v>
      </c>
      <c r="C142" s="132" t="str">
        <f ca="1">IFERROR(__xludf.DUMMYFUNCTION("""COMPUTED_VALUE"""),"THLCB")</f>
        <v>THLCB</v>
      </c>
      <c r="D142" s="221">
        <f ca="1">IFERROR(__xludf.DUMMYFUNCTION("""COMPUTED_VALUE"""),45940.9166666666)</f>
        <v>45940.916666666599</v>
      </c>
      <c r="E142" s="129" t="str">
        <f ca="1">IFERROR(__xludf.DUMMYFUNCTION("""COMPUTED_VALUE"""),"32.84 09/10/2025")</f>
        <v>32.84 09/10/2025</v>
      </c>
      <c r="F142" s="129" t="str">
        <f ca="1">IFERROR(__xludf.DUMMYFUNCTION("""COMPUTED_VALUE"""),"17/10/2025 15:00")</f>
        <v>17/10/2025 15:00</v>
      </c>
      <c r="G142" s="129" t="str">
        <f ca="1">IFERROR(__xludf.DUMMYFUNCTION("""COMPUTED_VALUE"""),"18/10/2025 15:00")</f>
        <v>18/10/2025 15:00</v>
      </c>
      <c r="H142" s="129" t="str">
        <f ca="1">IFERROR(__xludf.DUMMYFUNCTION("""COMPUTED_VALUE"""),"18/10/2025 15:00")</f>
        <v>18/10/2025 15:00</v>
      </c>
      <c r="I142" s="162" t="str">
        <f ca="1">IFERROR(__xludf.DUMMYFUNCTION("""COMPUTED_VALUE"""),"19/10/2025 15:00")</f>
        <v>19/10/2025 15:00</v>
      </c>
      <c r="J142" s="162" t="str">
        <f ca="1">IFERROR(__xludf.DUMMYFUNCTION("""COMPUTED_VALUE"""),"20/10/2025 16:00")</f>
        <v>20/10/2025 16:00</v>
      </c>
      <c r="K142" s="162" t="str">
        <f ca="1">IFERROR(__xludf.DUMMYFUNCTION("""COMPUTED_VALUE"""),"21/10/2025 04:00")</f>
        <v>21/10/2025 04:00</v>
      </c>
      <c r="L142" s="129" t="str">
        <f ca="1">IFERROR(__xludf.DUMMYFUNCTION("""COMPUTED_VALUE"""),"21/10/2025 08:00")</f>
        <v>21/10/2025 08:00</v>
      </c>
      <c r="M142" s="129" t="str">
        <f ca="1">IFERROR(__xludf.DUMMYFUNCTION("""COMPUTED_VALUE"""),"21/10/2025 NOON")</f>
        <v>21/10/2025 NOON</v>
      </c>
    </row>
    <row r="143" spans="1:13" ht="18.75" hidden="1">
      <c r="A143" s="129"/>
      <c r="B143" s="129"/>
      <c r="C143" s="132"/>
      <c r="D143" s="129"/>
      <c r="E143" s="129"/>
      <c r="F143" s="129"/>
      <c r="G143" s="129"/>
      <c r="H143" s="129"/>
      <c r="I143" s="162"/>
      <c r="J143" s="162"/>
      <c r="K143" s="162"/>
      <c r="L143" s="129"/>
      <c r="M143" s="129"/>
    </row>
    <row r="144" spans="1:13" ht="18.75" hidden="1">
      <c r="A144" s="129"/>
      <c r="B144" s="129"/>
      <c r="C144" s="132"/>
      <c r="D144" s="129"/>
      <c r="E144" s="129"/>
      <c r="F144" s="129"/>
      <c r="G144" s="129"/>
      <c r="H144" s="129"/>
      <c r="I144" s="162"/>
      <c r="J144" s="162"/>
      <c r="K144" s="162"/>
      <c r="L144" s="129"/>
      <c r="M144" s="129"/>
    </row>
    <row r="145" spans="1:13" ht="18.75" hidden="1">
      <c r="A145" s="129"/>
      <c r="B145" s="129"/>
      <c r="C145" s="132"/>
      <c r="D145" s="129"/>
      <c r="E145" s="129"/>
      <c r="F145" s="129"/>
      <c r="G145" s="129"/>
      <c r="H145" s="129"/>
      <c r="I145" s="162"/>
      <c r="J145" s="162"/>
      <c r="K145" s="162"/>
      <c r="L145" s="129"/>
      <c r="M145" s="129"/>
    </row>
    <row r="146" spans="1:13" ht="18.75" hidden="1">
      <c r="A146" s="129"/>
      <c r="B146" s="178"/>
      <c r="C146" s="132"/>
      <c r="D146" s="129"/>
      <c r="E146" s="129"/>
      <c r="F146" s="129"/>
      <c r="G146" s="129"/>
      <c r="H146" s="129"/>
      <c r="I146" s="162"/>
      <c r="J146" s="162"/>
      <c r="K146" s="162"/>
      <c r="L146" s="129"/>
      <c r="M146" s="129"/>
    </row>
    <row r="147" spans="1:13" ht="18.75" hidden="1">
      <c r="A147" s="129"/>
      <c r="B147" s="129" t="str">
        <f ca="1">IFERROR(__xludf.DUMMYFUNCTION("""COMPUTED_VALUE"""),"WEEK 42/2025")</f>
        <v>WEEK 42/2025</v>
      </c>
      <c r="C147" s="132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147" s="129"/>
      <c r="E147" s="129"/>
      <c r="F147" s="129"/>
      <c r="G147" s="129"/>
      <c r="H147" s="129"/>
      <c r="I147" s="162"/>
      <c r="J147" s="162"/>
      <c r="K147" s="162"/>
      <c r="L147" s="129"/>
      <c r="M147" s="129"/>
    </row>
    <row r="148" spans="1:13" ht="18.75" hidden="1">
      <c r="A148" s="75"/>
      <c r="B148" s="75"/>
      <c r="C148" s="78" t="str">
        <f ca="1">IFERROR(__xludf.DUMMYFUNCTION("""COMPUTED_VALUE"""),"HOLIDAYS 13 OCT 2025 Navamindra Maharaj Day")</f>
        <v>HOLIDAYS 13 OCT 2025 Navamindra Maharaj Day</v>
      </c>
      <c r="D148" s="83"/>
      <c r="E148" s="75"/>
      <c r="F148" s="75"/>
      <c r="G148" s="75"/>
      <c r="H148" s="75"/>
      <c r="I148" s="83"/>
      <c r="J148" s="83"/>
      <c r="K148" s="75"/>
      <c r="L148" s="75"/>
      <c r="M148" s="75"/>
    </row>
    <row r="149" spans="1:13" ht="18.75" hidden="1">
      <c r="A149" s="129" t="str">
        <f ca="1">IFERROR(__xludf.DUMMYFUNCTION("""COMPUTED_VALUE"""),"SERVICE")</f>
        <v>SERVICE</v>
      </c>
      <c r="B149" s="129" t="str">
        <f ca="1">IFERROR(__xludf.DUMMYFUNCTION("""COMPUTED_VALUE"""),"VESSEL NAME")</f>
        <v>VESSEL NAME</v>
      </c>
      <c r="C149" s="132" t="str">
        <f ca="1">IFERROR(__xludf.DUMMYFUNCTION("""COMPUTED_VALUE"""),"PORT")</f>
        <v>PORT</v>
      </c>
      <c r="D149" s="129" t="str">
        <f ca="1">IFERROR(__xludf.DUMMYFUNCTION("""COMPUTED_VALUE"""),"PERFOMA ETD")</f>
        <v>PERFOMA ETD</v>
      </c>
      <c r="E149" s="129" t="str">
        <f ca="1">IFERROR(__xludf.DUMMYFUNCTION("""COMPUTED_VALUE"""),"EX.RATE/DATE/")</f>
        <v>EX.RATE/DATE/</v>
      </c>
      <c r="F149" s="129" t="str">
        <f ca="1">IFERROR(__xludf.DUMMYFUNCTION("""COMPUTED_VALUE"""),"SI CUT OFF USA,MX")</f>
        <v>SI CUT OFF USA,MX</v>
      </c>
      <c r="G149" s="129" t="str">
        <f ca="1">IFERROR(__xludf.DUMMYFUNCTION("""COMPUTED_VALUE"""),"SI CUT OFF")</f>
        <v>SI CUT OFF</v>
      </c>
      <c r="H149" s="129" t="str">
        <f ca="1">IFERROR(__xludf.DUMMYFUNCTION("""COMPUTED_VALUE"""),"B/L CFM USA,MX")</f>
        <v>B/L CFM USA,MX</v>
      </c>
      <c r="I149" s="162" t="str">
        <f ca="1">IFERROR(__xludf.DUMMYFUNCTION("""COMPUTED_VALUE"""),"B/L CFM CHINA,JP,VN")</f>
        <v>B/L CFM CHINA,JP,VN</v>
      </c>
      <c r="J149" s="162" t="str">
        <f ca="1">IFERROR(__xludf.DUMMYFUNCTION("""COMPUTED_VALUE"""),"B/L CONFIRM")</f>
        <v>B/L CONFIRM</v>
      </c>
      <c r="K149" s="162" t="str">
        <f ca="1">IFERROR(__xludf.DUMMYFUNCTION("""COMPUTED_VALUE"""),"ETD")</f>
        <v>ETD</v>
      </c>
      <c r="L149" s="129" t="str">
        <f ca="1">IFERROR(__xludf.DUMMYFUNCTION("""COMPUTED_VALUE"""),"ATD")</f>
        <v>ATD</v>
      </c>
      <c r="M149" s="129" t="str">
        <f ca="1">IFERROR(__xludf.DUMMYFUNCTION("""COMPUTED_VALUE"""),"B/L ISSUED DATE")</f>
        <v>B/L ISSUED DATE</v>
      </c>
    </row>
    <row r="150" spans="1:13" ht="18.75" hidden="1">
      <c r="A150" s="129"/>
      <c r="B150" s="129"/>
      <c r="C150" s="132"/>
      <c r="D150" s="129"/>
      <c r="E150" s="129" t="str">
        <f ca="1">IFERROR(__xludf.DUMMYFUNCTION("""COMPUTED_VALUE"""),"BANGKOK BANK")</f>
        <v>BANGKOK BANK</v>
      </c>
      <c r="F150" s="129" t="str">
        <f ca="1">IFERROR(__xludf.DUMMYFUNCTION("""COMPUTED_VALUE"""),"4 days before ETD")</f>
        <v>4 days before ETD</v>
      </c>
      <c r="G150" s="129"/>
      <c r="H150" s="129" t="str">
        <f ca="1">IFERROR(__xludf.DUMMYFUNCTION("""COMPUTED_VALUE"""),"3 days before ETD")</f>
        <v>3 days before ETD</v>
      </c>
      <c r="I150" s="162" t="str">
        <f ca="1">IFERROR(__xludf.DUMMYFUNCTION("""COMPUTED_VALUE"""),"Direct port CUT OFF")</f>
        <v>Direct port CUT OFF</v>
      </c>
      <c r="J150" s="162" t="str">
        <f ca="1">IFERROR(__xludf.DUMMYFUNCTION("""COMPUTED_VALUE"""),"Orther port CUT OFF")</f>
        <v>Orther port CUT OFF</v>
      </c>
      <c r="K150" s="162" t="str">
        <f ca="1">IFERROR(__xludf.DUMMYFUNCTION("""COMPUTED_VALUE"""),"ON BOARD DATE")</f>
        <v>ON BOARD DATE</v>
      </c>
      <c r="L150" s="129" t="str">
        <f ca="1">IFERROR(__xludf.DUMMYFUNCTION("""COMPUTED_VALUE"""),"วันเรือออกจริง")</f>
        <v>วันเรือออกจริง</v>
      </c>
      <c r="M150" s="129" t="str">
        <f ca="1">IFERROR(__xludf.DUMMYFUNCTION("""COMPUTED_VALUE"""),"วันปล่อยบีแอล")</f>
        <v>วันปล่อยบีแอล</v>
      </c>
    </row>
    <row r="151" spans="1:13" ht="18.75" hidden="1">
      <c r="A151" s="129"/>
      <c r="B151" s="129"/>
      <c r="C151" s="132"/>
      <c r="D151" s="129"/>
      <c r="E151" s="129"/>
      <c r="F151" s="129"/>
      <c r="G151" s="129" t="str">
        <f ca="1">IFERROR(__xludf.DUMMYFUNCTION("""COMPUTED_VALUE"""),"3 days before ETD")</f>
        <v>3 days before ETD</v>
      </c>
      <c r="H151" s="129"/>
      <c r="I151" s="162" t="str">
        <f ca="1">IFERROR(__xludf.DUMMYFUNCTION("""COMPUTED_VALUE"""),"2 days before ETD")</f>
        <v>2 days before ETD</v>
      </c>
      <c r="J151" s="162" t="str">
        <f ca="1">IFERROR(__xludf.DUMMYFUNCTION("""COMPUTED_VALUE"""),"1 days before ETD")</f>
        <v>1 days before ETD</v>
      </c>
      <c r="K151" s="162" t="str">
        <f ca="1">IFERROR(__xludf.DUMMYFUNCTION("""COMPUTED_VALUE"""),"SHOW ON B/L")</f>
        <v>SHOW ON B/L</v>
      </c>
      <c r="L151" s="129"/>
      <c r="M151" s="129"/>
    </row>
    <row r="152" spans="1:13" ht="18.75" hidden="1">
      <c r="A152" s="129" t="str">
        <f ca="1">IFERROR(__xludf.DUMMYFUNCTION("""COMPUTED_VALUE"""),"TRX")</f>
        <v>TRX</v>
      </c>
      <c r="B152" s="129" t="str">
        <f ca="1">IFERROR(__xludf.DUMMYFUNCTION("""COMPUTED_VALUE"""),"CHANA BHUM V.906N")</f>
        <v>CHANA BHUM V.906N</v>
      </c>
      <c r="C152" s="132" t="str">
        <f ca="1">IFERROR(__xludf.DUMMYFUNCTION("""COMPUTED_VALUE"""),"THBKK")</f>
        <v>THBKK</v>
      </c>
      <c r="D152" s="238">
        <f ca="1">IFERROR(__xludf.DUMMYFUNCTION("""COMPUTED_VALUE"""),45848.8125)</f>
        <v>45848.8125</v>
      </c>
      <c r="E152" s="129" t="str">
        <f ca="1">IFERROR(__xludf.DUMMYFUNCTION("""COMPUTED_VALUE"""),"32.65 03/10/2025")</f>
        <v>32.65 03/10/2025</v>
      </c>
      <c r="F152" s="238">
        <f ca="1">IFERROR(__xludf.DUMMYFUNCTION("""COMPUTED_VALUE"""),45848.625)</f>
        <v>45848.625</v>
      </c>
      <c r="G152" s="238">
        <f ca="1">IFERROR(__xludf.DUMMYFUNCTION("""COMPUTED_VALUE"""),45879.625)</f>
        <v>45879.625</v>
      </c>
      <c r="H152" s="238">
        <f ca="1">IFERROR(__xludf.DUMMYFUNCTION("""COMPUTED_VALUE"""),45879.625)</f>
        <v>45879.625</v>
      </c>
      <c r="I152" s="246">
        <f ca="1">IFERROR(__xludf.DUMMYFUNCTION("""COMPUTED_VALUE"""),45910.625)</f>
        <v>45910.625</v>
      </c>
      <c r="J152" s="273">
        <f ca="1">IFERROR(__xludf.DUMMYFUNCTION("""COMPUTED_VALUE"""),45940.6666666666)</f>
        <v>45940.666666666599</v>
      </c>
      <c r="K152" s="162" t="str">
        <f ca="1">IFERROR(__xludf.DUMMYFUNCTION("""COMPUTED_VALUE"""),"13/10/2025 06:00")</f>
        <v>13/10/2025 06:00</v>
      </c>
      <c r="L152" s="129" t="str">
        <f ca="1">IFERROR(__xludf.DUMMYFUNCTION("""COMPUTED_VALUE"""),"13/10/2025 06:00")</f>
        <v>13/10/2025 06:00</v>
      </c>
      <c r="M152" s="129" t="str">
        <f ca="1">IFERROR(__xludf.DUMMYFUNCTION("""COMPUTED_VALUE"""),"14/10/2025 MORNING")</f>
        <v>14/10/2025 MORNING</v>
      </c>
    </row>
    <row r="153" spans="1:13" ht="18.75" hidden="1">
      <c r="A153" s="129"/>
      <c r="B153" s="129"/>
      <c r="C153" s="132" t="str">
        <f ca="1">IFERROR(__xludf.DUMMYFUNCTION("""COMPUTED_VALUE"""),"THLCB")</f>
        <v>THLCB</v>
      </c>
      <c r="D153" s="238">
        <f ca="1">IFERROR(__xludf.DUMMYFUNCTION("""COMPUTED_VALUE"""),45910.375)</f>
        <v>45910.375</v>
      </c>
      <c r="E153" s="129"/>
      <c r="F153" s="238">
        <f ca="1">IFERROR(__xludf.DUMMYFUNCTION("""COMPUTED_VALUE"""),45910.625)</f>
        <v>45910.625</v>
      </c>
      <c r="G153" s="221">
        <f ca="1">IFERROR(__xludf.DUMMYFUNCTION("""COMPUTED_VALUE"""),45940.625)</f>
        <v>45940.625</v>
      </c>
      <c r="H153" s="221">
        <f ca="1">IFERROR(__xludf.DUMMYFUNCTION("""COMPUTED_VALUE"""),45940.625)</f>
        <v>45940.625</v>
      </c>
      <c r="I153" s="193">
        <f ca="1">IFERROR(__xludf.DUMMYFUNCTION("""COMPUTED_VALUE"""),45971.625)</f>
        <v>45971.625</v>
      </c>
      <c r="J153" s="273">
        <f ca="1">IFERROR(__xludf.DUMMYFUNCTION("""COMPUTED_VALUE"""),46001.6666666666)</f>
        <v>46001.666666666599</v>
      </c>
      <c r="K153" s="162" t="str">
        <f ca="1">IFERROR(__xludf.DUMMYFUNCTION("""COMPUTED_VALUE"""),"14/10/2025 16:00")</f>
        <v>14/10/2025 16:00</v>
      </c>
      <c r="L153" s="129" t="str">
        <f ca="1">IFERROR(__xludf.DUMMYFUNCTION("""COMPUTED_VALUE"""),"14/10/2025 22:30")</f>
        <v>14/10/2025 22:30</v>
      </c>
      <c r="M153" s="129" t="str">
        <f ca="1">IFERROR(__xludf.DUMMYFUNCTION("""COMPUTED_VALUE"""),"15/10/2025 MORNING")</f>
        <v>15/10/2025 MORNING</v>
      </c>
    </row>
    <row r="154" spans="1:13" ht="18.75" hidden="1">
      <c r="A154" s="129" t="str">
        <f ca="1">IFERROR(__xludf.DUMMYFUNCTION("""COMPUTED_VALUE"""),"CHT")</f>
        <v>CHT</v>
      </c>
      <c r="B154" s="129" t="str">
        <f ca="1">IFERROR(__xludf.DUMMYFUNCTION("""COMPUTED_VALUE"""),"SAWASDEE RIGEL V.2511N")</f>
        <v>SAWASDEE RIGEL V.2511N</v>
      </c>
      <c r="C154" s="132" t="str">
        <f ca="1">IFERROR(__xludf.DUMMYFUNCTION("""COMPUTED_VALUE"""),"THBKK")</f>
        <v>THBKK</v>
      </c>
      <c r="D154" s="238">
        <f ca="1">IFERROR(__xludf.DUMMYFUNCTION("""COMPUTED_VALUE"""),45879.3333333333)</f>
        <v>45879.333333333299</v>
      </c>
      <c r="E154" s="129" t="str">
        <f ca="1">IFERROR(__xludf.DUMMYFUNCTION("""COMPUTED_VALUE"""),"32.84 09/10/2025")</f>
        <v>32.84 09/10/2025</v>
      </c>
      <c r="F154" s="129" t="str">
        <f ca="1">IFERROR(__xludf.DUMMYFUNCTION("""COMPUTED_VALUE"""),"14/10/2025 15:00")</f>
        <v>14/10/2025 15:00</v>
      </c>
      <c r="G154" s="129" t="str">
        <f ca="1">IFERROR(__xludf.DUMMYFUNCTION("""COMPUTED_VALUE"""),"15/10/2025 15:00")</f>
        <v>15/10/2025 15:00</v>
      </c>
      <c r="H154" s="129" t="str">
        <f ca="1">IFERROR(__xludf.DUMMYFUNCTION("""COMPUTED_VALUE"""),"15/10/2025 15:00")</f>
        <v>15/10/2025 15:00</v>
      </c>
      <c r="I154" s="162" t="str">
        <f ca="1">IFERROR(__xludf.DUMMYFUNCTION("""COMPUTED_VALUE"""),"16/10/2025 15:00")</f>
        <v>16/10/2025 15:00</v>
      </c>
      <c r="J154" s="162" t="str">
        <f ca="1">IFERROR(__xludf.DUMMYFUNCTION("""COMPUTED_VALUE"""),"17/10/2025 16:00")</f>
        <v>17/10/2025 16:00</v>
      </c>
      <c r="K154" s="162" t="str">
        <f ca="1">IFERROR(__xludf.DUMMYFUNCTION("""COMPUTED_VALUE"""),"18/10/2025 12:00")</f>
        <v>18/10/2025 12:00</v>
      </c>
      <c r="L154" s="129" t="str">
        <f ca="1">IFERROR(__xludf.DUMMYFUNCTION("""COMPUTED_VALUE"""),"18/10/2025 12:00")</f>
        <v>18/10/2025 12:00</v>
      </c>
      <c r="M154" s="129" t="str">
        <f ca="1">IFERROR(__xludf.DUMMYFUNCTION("""COMPUTED_VALUE"""),"20/10/2025 MORNING")</f>
        <v>20/10/2025 MORNING</v>
      </c>
    </row>
    <row r="155" spans="1:13" ht="18.75" hidden="1">
      <c r="A155" s="129"/>
      <c r="B155" s="129"/>
      <c r="C155" s="132" t="str">
        <f ca="1">IFERROR(__xludf.DUMMYFUNCTION("""COMPUTED_VALUE"""),"THLCB")</f>
        <v>THLCB</v>
      </c>
      <c r="D155" s="238">
        <f ca="1">IFERROR(__xludf.DUMMYFUNCTION("""COMPUTED_VALUE"""),45910.1666666666)</f>
        <v>45910.166666666599</v>
      </c>
      <c r="E155" s="129"/>
      <c r="F155" s="129" t="str">
        <f ca="1">IFERROR(__xludf.DUMMYFUNCTION("""COMPUTED_VALUE"""),"16/10/2025 15:00")</f>
        <v>16/10/2025 15:00</v>
      </c>
      <c r="G155" s="129" t="str">
        <f ca="1">IFERROR(__xludf.DUMMYFUNCTION("""COMPUTED_VALUE"""),"17/10/2025 15:00")</f>
        <v>17/10/2025 15:00</v>
      </c>
      <c r="H155" s="129" t="str">
        <f ca="1">IFERROR(__xludf.DUMMYFUNCTION("""COMPUTED_VALUE"""),"17/10/2025 15:00")</f>
        <v>17/10/2025 15:00</v>
      </c>
      <c r="I155" s="162" t="str">
        <f ca="1">IFERROR(__xludf.DUMMYFUNCTION("""COMPUTED_VALUE"""),"18/10/2025 15:00")</f>
        <v>18/10/2025 15:00</v>
      </c>
      <c r="J155" s="162" t="str">
        <f ca="1">IFERROR(__xludf.DUMMYFUNCTION("""COMPUTED_VALUE"""),"19/10/2025 16:00")</f>
        <v>19/10/2025 16:00</v>
      </c>
      <c r="K155" s="162" t="str">
        <f ca="1">IFERROR(__xludf.DUMMYFUNCTION("""COMPUTED_VALUE"""),"20/10/2025 18:00")</f>
        <v>20/10/2025 18:00</v>
      </c>
      <c r="L155" s="129" t="str">
        <f ca="1">IFERROR(__xludf.DUMMYFUNCTION("""COMPUTED_VALUE"""),"20/10/2025 18:00")</f>
        <v>20/10/2025 18:00</v>
      </c>
      <c r="M155" s="129" t="str">
        <f ca="1">IFERROR(__xludf.DUMMYFUNCTION("""COMPUTED_VALUE"""),"21/10/2025 MORNING")</f>
        <v>21/10/2025 MORNING</v>
      </c>
    </row>
    <row r="156" spans="1:13" ht="18.75" hidden="1">
      <c r="A156" s="129" t="str">
        <f ca="1">IFERROR(__xludf.DUMMYFUNCTION("""COMPUTED_VALUE"""),"CVT")</f>
        <v>CVT</v>
      </c>
      <c r="B156" s="129" t="str">
        <f ca="1">IFERROR(__xludf.DUMMYFUNCTION("""COMPUTED_VALUE"""),"AVIOS V.2514N")</f>
        <v>AVIOS V.2514N</v>
      </c>
      <c r="C156" s="132" t="str">
        <f ca="1">IFERROR(__xludf.DUMMYFUNCTION("""COMPUTED_VALUE"""),"THBKK")</f>
        <v>THBKK</v>
      </c>
      <c r="D156" s="238">
        <f ca="1">IFERROR(__xludf.DUMMYFUNCTION("""COMPUTED_VALUE"""),45698.3333333333)</f>
        <v>45698.333333333299</v>
      </c>
      <c r="E156" s="129" t="str">
        <f ca="1">IFERROR(__xludf.DUMMYFUNCTION("""COMPUTED_VALUE"""),"32.65 03/10/2025")</f>
        <v>32.65 03/10/2025</v>
      </c>
      <c r="F156" s="238">
        <f ca="1">IFERROR(__xludf.DUMMYFUNCTION("""COMPUTED_VALUE"""),45848.625)</f>
        <v>45848.625</v>
      </c>
      <c r="G156" s="238">
        <f ca="1">IFERROR(__xludf.DUMMYFUNCTION("""COMPUTED_VALUE"""),45879.625)</f>
        <v>45879.625</v>
      </c>
      <c r="H156" s="238">
        <f ca="1">IFERROR(__xludf.DUMMYFUNCTION("""COMPUTED_VALUE"""),45879.625)</f>
        <v>45879.625</v>
      </c>
      <c r="I156" s="246">
        <f ca="1">IFERROR(__xludf.DUMMYFUNCTION("""COMPUTED_VALUE"""),45910.625)</f>
        <v>45910.625</v>
      </c>
      <c r="J156" s="273">
        <f ca="1">IFERROR(__xludf.DUMMYFUNCTION("""COMPUTED_VALUE"""),45940.6666666666)</f>
        <v>45940.666666666599</v>
      </c>
      <c r="K156" s="162" t="str">
        <f ca="1">IFERROR(__xludf.DUMMYFUNCTION("""COMPUTED_VALUE"""),"13/10/2025 07:00")</f>
        <v>13/10/2025 07:00</v>
      </c>
      <c r="L156" s="129" t="str">
        <f ca="1">IFERROR(__xludf.DUMMYFUNCTION("""COMPUTED_VALUE"""),"13/10/2025 07:00")</f>
        <v>13/10/2025 07:00</v>
      </c>
      <c r="M156" s="129" t="str">
        <f ca="1">IFERROR(__xludf.DUMMYFUNCTION("""COMPUTED_VALUE"""),"14/10/2025 MORNING")</f>
        <v>14/10/2025 MORNING</v>
      </c>
    </row>
    <row r="157" spans="1:13" ht="18.75" hidden="1">
      <c r="A157" s="129"/>
      <c r="B157" s="129"/>
      <c r="C157" s="132" t="str">
        <f ca="1">IFERROR(__xludf.DUMMYFUNCTION("""COMPUTED_VALUE"""),"THLCB")</f>
        <v>THLCB</v>
      </c>
      <c r="D157" s="238">
        <f ca="1">IFERROR(__xludf.DUMMYFUNCTION("""COMPUTED_VALUE"""),45726.1666666666)</f>
        <v>45726.166666666599</v>
      </c>
      <c r="E157" s="129"/>
      <c r="F157" s="238">
        <f ca="1">IFERROR(__xludf.DUMMYFUNCTION("""COMPUTED_VALUE"""),45910.625)</f>
        <v>45910.625</v>
      </c>
      <c r="G157" s="221">
        <f ca="1">IFERROR(__xludf.DUMMYFUNCTION("""COMPUTED_VALUE"""),45940.625)</f>
        <v>45940.625</v>
      </c>
      <c r="H157" s="221">
        <f ca="1">IFERROR(__xludf.DUMMYFUNCTION("""COMPUTED_VALUE"""),45940.625)</f>
        <v>45940.625</v>
      </c>
      <c r="I157" s="193">
        <f ca="1">IFERROR(__xludf.DUMMYFUNCTION("""COMPUTED_VALUE"""),46001.625)</f>
        <v>46001.625</v>
      </c>
      <c r="J157" s="162" t="str">
        <f ca="1">IFERROR(__xludf.DUMMYFUNCTION("""COMPUTED_VALUE"""),"13/10/2025 16:00")</f>
        <v>13/10/2025 16:00</v>
      </c>
      <c r="K157" s="162" t="str">
        <f ca="1">IFERROR(__xludf.DUMMYFUNCTION("""COMPUTED_VALUE"""),"14/10/2025 01:00")</f>
        <v>14/10/2025 01:00</v>
      </c>
      <c r="L157" s="129" t="str">
        <f ca="1">IFERROR(__xludf.DUMMYFUNCTION("""COMPUTED_VALUE"""),"14/10/2025 05:00")</f>
        <v>14/10/2025 05:00</v>
      </c>
      <c r="M157" s="129" t="str">
        <f ca="1">IFERROR(__xludf.DUMMYFUNCTION("""COMPUTED_VALUE"""),"14/10/2025 NOON")</f>
        <v>14/10/2025 NOON</v>
      </c>
    </row>
    <row r="158" spans="1:13" ht="18.75" hidden="1">
      <c r="A158" s="129" t="str">
        <f ca="1">IFERROR(__xludf.DUMMYFUNCTION("""COMPUTED_VALUE"""),"CVT")</f>
        <v>CVT</v>
      </c>
      <c r="B158" s="129" t="str">
        <f ca="1">IFERROR(__xludf.DUMMYFUNCTION("""COMPUTED_VALUE"""),"KMTC POHANG V.2512N")</f>
        <v>KMTC POHANG V.2512N</v>
      </c>
      <c r="C158" s="132" t="str">
        <f ca="1">IFERROR(__xludf.DUMMYFUNCTION("""COMPUTED_VALUE"""),"THBKK")</f>
        <v>THBKK</v>
      </c>
      <c r="D158" s="238">
        <f ca="1">IFERROR(__xludf.DUMMYFUNCTION("""COMPUTED_VALUE"""),45910.3333333333)</f>
        <v>45910.333333333299</v>
      </c>
      <c r="E158" s="129" t="str">
        <f ca="1">IFERROR(__xludf.DUMMYFUNCTION("""COMPUTED_VALUE"""),"32.75 07/10/2025")</f>
        <v>32.75 07/10/2025</v>
      </c>
      <c r="F158" s="221">
        <f ca="1">IFERROR(__xludf.DUMMYFUNCTION("""COMPUTED_VALUE"""),45971.625)</f>
        <v>45971.625</v>
      </c>
      <c r="G158" s="221">
        <f ca="1">IFERROR(__xludf.DUMMYFUNCTION("""COMPUTED_VALUE"""),46001.625)</f>
        <v>46001.625</v>
      </c>
      <c r="H158" s="221">
        <f ca="1">IFERROR(__xludf.DUMMYFUNCTION("""COMPUTED_VALUE"""),46001.625)</f>
        <v>46001.625</v>
      </c>
      <c r="I158" s="162" t="str">
        <f ca="1">IFERROR(__xludf.DUMMYFUNCTION("""COMPUTED_VALUE"""),"13/10/2025 15:00")</f>
        <v>13/10/2025 15:00</v>
      </c>
      <c r="J158" s="162" t="str">
        <f ca="1">IFERROR(__xludf.DUMMYFUNCTION("""COMPUTED_VALUE"""),"14/10/2025 16:00")</f>
        <v>14/10/2025 16:00</v>
      </c>
      <c r="K158" s="162" t="str">
        <f ca="1">IFERROR(__xludf.DUMMYFUNCTION("""COMPUTED_VALUE"""),"15/10/2025 09:00")</f>
        <v>15/10/2025 09:00</v>
      </c>
      <c r="L158" s="129" t="str">
        <f ca="1">IFERROR(__xludf.DUMMYFUNCTION("""COMPUTED_VALUE"""),"15/10/2025 09:00")</f>
        <v>15/10/2025 09:00</v>
      </c>
      <c r="M158" s="129" t="str">
        <f ca="1">IFERROR(__xludf.DUMMYFUNCTION("""COMPUTED_VALUE"""),"15/10/2025 NOON")</f>
        <v>15/10/2025 NOON</v>
      </c>
    </row>
    <row r="159" spans="1:13" ht="18.75" hidden="1">
      <c r="A159" s="129"/>
      <c r="B159" s="129"/>
      <c r="C159" s="132" t="str">
        <f ca="1">IFERROR(__xludf.DUMMYFUNCTION("""COMPUTED_VALUE"""),"THLCB")</f>
        <v>THLCB</v>
      </c>
      <c r="D159" s="221">
        <f ca="1">IFERROR(__xludf.DUMMYFUNCTION("""COMPUTED_VALUE"""),45940.1666666666)</f>
        <v>45940.166666666599</v>
      </c>
      <c r="E159" s="129"/>
      <c r="F159" s="221">
        <f ca="1">IFERROR(__xludf.DUMMYFUNCTION("""COMPUTED_VALUE"""),46001.625)</f>
        <v>46001.625</v>
      </c>
      <c r="G159" s="129" t="str">
        <f ca="1">IFERROR(__xludf.DUMMYFUNCTION("""COMPUTED_VALUE"""),"13/10/2025 15:00")</f>
        <v>13/10/2025 15:00</v>
      </c>
      <c r="H159" s="129" t="str">
        <f ca="1">IFERROR(__xludf.DUMMYFUNCTION("""COMPUTED_VALUE"""),"13/10/2025 15:00")</f>
        <v>13/10/2025 15:00</v>
      </c>
      <c r="I159" s="162" t="str">
        <f ca="1">IFERROR(__xludf.DUMMYFUNCTION("""COMPUTED_VALUE"""),"14/10/2025 15:00")</f>
        <v>14/10/2025 15:00</v>
      </c>
      <c r="J159" s="162" t="str">
        <f ca="1">IFERROR(__xludf.DUMMYFUNCTION("""COMPUTED_VALUE"""),"15/10/2025 16:00")</f>
        <v>15/10/2025 16:00</v>
      </c>
      <c r="K159" s="162" t="str">
        <f ca="1">IFERROR(__xludf.DUMMYFUNCTION("""COMPUTED_VALUE"""),"16/10/2025 01:00")</f>
        <v>16/10/2025 01:00</v>
      </c>
      <c r="L159" s="129" t="str">
        <f ca="1">IFERROR(__xludf.DUMMYFUNCTION("""COMPUTED_VALUE"""),"16/10/2025 02:00")</f>
        <v>16/10/2025 02:00</v>
      </c>
      <c r="M159" s="129" t="str">
        <f ca="1">IFERROR(__xludf.DUMMYFUNCTION("""COMPUTED_VALUE"""),"16/10/2025 NOON")</f>
        <v>16/10/2025 NOON</v>
      </c>
    </row>
    <row r="160" spans="1:13" ht="18.75" hidden="1">
      <c r="A160" s="129" t="str">
        <f ca="1">IFERROR(__xludf.DUMMYFUNCTION("""COMPUTED_VALUE"""),"CVT")</f>
        <v>CVT</v>
      </c>
      <c r="B160" s="129" t="str">
        <f ca="1">IFERROR(__xludf.DUMMYFUNCTION("""COMPUTED_VALUE"""),"TS INCHEON V.25038N")</f>
        <v>TS INCHEON V.25038N</v>
      </c>
      <c r="C160" s="132" t="str">
        <f ca="1">IFERROR(__xludf.DUMMYFUNCTION("""COMPUTED_VALUE"""),"THBKK")</f>
        <v>THBKK</v>
      </c>
      <c r="D160" s="129" t="str">
        <f ca="1">IFERROR(__xludf.DUMMYFUNCTION("""COMPUTED_VALUE"""),"16/10/2025 08:00")</f>
        <v>16/10/2025 08:00</v>
      </c>
      <c r="E160" s="129" t="str">
        <f ca="1">IFERROR(__xludf.DUMMYFUNCTION("""COMPUTED_VALUE"""),"32.84 09/10/2025")</f>
        <v>32.84 09/10/2025</v>
      </c>
      <c r="F160" s="129" t="str">
        <f ca="1">IFERROR(__xludf.DUMMYFUNCTION("""COMPUTED_VALUE"""),"14/10/2025 15:00")</f>
        <v>14/10/2025 15:00</v>
      </c>
      <c r="G160" s="129" t="str">
        <f ca="1">IFERROR(__xludf.DUMMYFUNCTION("""COMPUTED_VALUE"""),"15/10/2025 15:00")</f>
        <v>15/10/2025 15:00</v>
      </c>
      <c r="H160" s="129" t="str">
        <f ca="1">IFERROR(__xludf.DUMMYFUNCTION("""COMPUTED_VALUE"""),"15/10/2025 15:00")</f>
        <v>15/10/2025 15:00</v>
      </c>
      <c r="I160" s="162" t="str">
        <f ca="1">IFERROR(__xludf.DUMMYFUNCTION("""COMPUTED_VALUE"""),"16/10/2025 15:00")</f>
        <v>16/10/2025 15:00</v>
      </c>
      <c r="J160" s="162" t="str">
        <f ca="1">IFERROR(__xludf.DUMMYFUNCTION("""COMPUTED_VALUE"""),"17/10/2025 16:00")</f>
        <v>17/10/2025 16:00</v>
      </c>
      <c r="K160" s="162" t="str">
        <f ca="1">IFERROR(__xludf.DUMMYFUNCTION("""COMPUTED_VALUE"""),"17/10/2025 17:00")</f>
        <v>17/10/2025 17:00</v>
      </c>
      <c r="L160" s="129" t="str">
        <f ca="1">IFERROR(__xludf.DUMMYFUNCTION("""COMPUTED_VALUE"""),"17/10/2025 17:00")</f>
        <v>17/10/2025 17:00</v>
      </c>
      <c r="M160" s="129" t="str">
        <f ca="1">IFERROR(__xludf.DUMMYFUNCTION("""COMPUTED_VALUE"""),"20/10/2025 MORNING")</f>
        <v>20/10/2025 MORNING</v>
      </c>
    </row>
    <row r="161" spans="1:13" ht="18.75" hidden="1">
      <c r="A161" s="278"/>
      <c r="B161" s="278"/>
      <c r="C161" s="279" t="str">
        <f ca="1">IFERROR(__xludf.DUMMYFUNCTION("""COMPUTED_VALUE"""),"THLCB")</f>
        <v>THLCB</v>
      </c>
      <c r="D161" s="278" t="str">
        <f ca="1">IFERROR(__xludf.DUMMYFUNCTION("""COMPUTED_VALUE"""),"17/10/2025 04:00")</f>
        <v>17/10/2025 04:00</v>
      </c>
      <c r="E161" s="278"/>
      <c r="F161" s="278" t="str">
        <f ca="1">IFERROR(__xludf.DUMMYFUNCTION("""COMPUTED_VALUE"""),"14/10/2025 15:00")</f>
        <v>14/10/2025 15:00</v>
      </c>
      <c r="G161" s="278" t="str">
        <f ca="1">IFERROR(__xludf.DUMMYFUNCTION("""COMPUTED_VALUE"""),"15/10/2025 15:00")</f>
        <v>15/10/2025 15:00</v>
      </c>
      <c r="H161" s="278" t="str">
        <f ca="1">IFERROR(__xludf.DUMMYFUNCTION("""COMPUTED_VALUE"""),"15/10/2025 15:00")</f>
        <v>15/10/2025 15:00</v>
      </c>
      <c r="I161" s="280" t="str">
        <f ca="1">IFERROR(__xludf.DUMMYFUNCTION("""COMPUTED_VALUE"""),"16/10/2025 15:00")</f>
        <v>16/10/2025 15:00</v>
      </c>
      <c r="J161" s="280" t="str">
        <f ca="1">IFERROR(__xludf.DUMMYFUNCTION("""COMPUTED_VALUE"""),"17/10/2025 16:00")</f>
        <v>17/10/2025 16:00</v>
      </c>
      <c r="K161" s="280" t="str">
        <f ca="1">IFERROR(__xludf.DUMMYFUNCTION("""COMPUTED_VALUE"""),"18/10/2025 08:00")</f>
        <v>18/10/2025 08:00</v>
      </c>
      <c r="L161" s="278" t="str">
        <f ca="1">IFERROR(__xludf.DUMMYFUNCTION("""COMPUTED_VALUE"""),"18/10/2025 09:00")</f>
        <v>18/10/2025 09:00</v>
      </c>
      <c r="M161" s="278" t="str">
        <f ca="1">IFERROR(__xludf.DUMMYFUNCTION("""COMPUTED_VALUE"""),"20/10/2025 MORNING")</f>
        <v>20/10/2025 MORNING</v>
      </c>
    </row>
    <row r="162" spans="1:13" ht="18.75" hidden="1">
      <c r="A162" s="129"/>
      <c r="B162" s="129" t="str">
        <f ca="1">IFERROR(__xludf.DUMMYFUNCTION("""COMPUTED_VALUE"""),"WEEK 41/2025")</f>
        <v>WEEK 41/2025</v>
      </c>
      <c r="C162" s="132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162" s="129"/>
      <c r="E162" s="129"/>
      <c r="F162" s="129"/>
      <c r="G162" s="129"/>
      <c r="H162" s="129"/>
      <c r="I162" s="162"/>
      <c r="J162" s="162"/>
      <c r="K162" s="162"/>
      <c r="L162" s="129"/>
      <c r="M162" s="129"/>
    </row>
    <row r="163" spans="1:13" ht="18.75" hidden="1">
      <c r="A163" s="129"/>
      <c r="B163" s="129"/>
      <c r="C163" s="132"/>
      <c r="D163" s="129"/>
      <c r="E163" s="129"/>
      <c r="F163" s="129"/>
      <c r="G163" s="129"/>
      <c r="H163" s="129"/>
      <c r="I163" s="162"/>
      <c r="J163" s="162"/>
      <c r="K163" s="162"/>
      <c r="L163" s="129"/>
      <c r="M163" s="129"/>
    </row>
    <row r="164" spans="1:13" ht="18.75" hidden="1">
      <c r="A164" s="129" t="str">
        <f ca="1">IFERROR(__xludf.DUMMYFUNCTION("""COMPUTED_VALUE"""),"SERVICE")</f>
        <v>SERVICE</v>
      </c>
      <c r="B164" s="129" t="str">
        <f ca="1">IFERROR(__xludf.DUMMYFUNCTION("""COMPUTED_VALUE"""),"VESSEL NAME")</f>
        <v>VESSEL NAME</v>
      </c>
      <c r="C164" s="132" t="str">
        <f ca="1">IFERROR(__xludf.DUMMYFUNCTION("""COMPUTED_VALUE"""),"PORT")</f>
        <v>PORT</v>
      </c>
      <c r="D164" s="129" t="str">
        <f ca="1">IFERROR(__xludf.DUMMYFUNCTION("""COMPUTED_VALUE"""),"PERFOMA ETD")</f>
        <v>PERFOMA ETD</v>
      </c>
      <c r="E164" s="129" t="str">
        <f ca="1">IFERROR(__xludf.DUMMYFUNCTION("""COMPUTED_VALUE"""),"EX.RATE/DATE/")</f>
        <v>EX.RATE/DATE/</v>
      </c>
      <c r="F164" s="129" t="str">
        <f ca="1">IFERROR(__xludf.DUMMYFUNCTION("""COMPUTED_VALUE"""),"SI CUT OFF USA,MX")</f>
        <v>SI CUT OFF USA,MX</v>
      </c>
      <c r="G164" s="129" t="str">
        <f ca="1">IFERROR(__xludf.DUMMYFUNCTION("""COMPUTED_VALUE"""),"SI CUT OFF")</f>
        <v>SI CUT OFF</v>
      </c>
      <c r="H164" s="129" t="str">
        <f ca="1">IFERROR(__xludf.DUMMYFUNCTION("""COMPUTED_VALUE"""),"B/L CFM USA,MX")</f>
        <v>B/L CFM USA,MX</v>
      </c>
      <c r="I164" s="162" t="str">
        <f ca="1">IFERROR(__xludf.DUMMYFUNCTION("""COMPUTED_VALUE"""),"B/L CFM CHINA,JP,VN")</f>
        <v>B/L CFM CHINA,JP,VN</v>
      </c>
      <c r="J164" s="162" t="str">
        <f ca="1">IFERROR(__xludf.DUMMYFUNCTION("""COMPUTED_VALUE"""),"B/L CONFIRM")</f>
        <v>B/L CONFIRM</v>
      </c>
      <c r="K164" s="162" t="str">
        <f ca="1">IFERROR(__xludf.DUMMYFUNCTION("""COMPUTED_VALUE"""),"ETD")</f>
        <v>ETD</v>
      </c>
      <c r="L164" s="129" t="str">
        <f ca="1">IFERROR(__xludf.DUMMYFUNCTION("""COMPUTED_VALUE"""),"ATD")</f>
        <v>ATD</v>
      </c>
      <c r="M164" s="129" t="str">
        <f ca="1">IFERROR(__xludf.DUMMYFUNCTION("""COMPUTED_VALUE"""),"B/L ISSUED DATE")</f>
        <v>B/L ISSUED DATE</v>
      </c>
    </row>
    <row r="165" spans="1:13" ht="18.75" hidden="1">
      <c r="A165" s="129"/>
      <c r="B165" s="129"/>
      <c r="C165" s="132"/>
      <c r="D165" s="129"/>
      <c r="E165" s="129" t="str">
        <f ca="1">IFERROR(__xludf.DUMMYFUNCTION("""COMPUTED_VALUE"""),"BANGKOK BANK")</f>
        <v>BANGKOK BANK</v>
      </c>
      <c r="F165" s="129" t="str">
        <f ca="1">IFERROR(__xludf.DUMMYFUNCTION("""COMPUTED_VALUE"""),"4 days before ETD")</f>
        <v>4 days before ETD</v>
      </c>
      <c r="G165" s="129"/>
      <c r="H165" s="129" t="str">
        <f ca="1">IFERROR(__xludf.DUMMYFUNCTION("""COMPUTED_VALUE"""),"3 days before ETD")</f>
        <v>3 days before ETD</v>
      </c>
      <c r="I165" s="162" t="str">
        <f ca="1">IFERROR(__xludf.DUMMYFUNCTION("""COMPUTED_VALUE"""),"Direct port CUT OFF")</f>
        <v>Direct port CUT OFF</v>
      </c>
      <c r="J165" s="162" t="str">
        <f ca="1">IFERROR(__xludf.DUMMYFUNCTION("""COMPUTED_VALUE"""),"Orther port CUT OFF")</f>
        <v>Orther port CUT OFF</v>
      </c>
      <c r="K165" s="162" t="str">
        <f ca="1">IFERROR(__xludf.DUMMYFUNCTION("""COMPUTED_VALUE"""),"ON BOARD DATE")</f>
        <v>ON BOARD DATE</v>
      </c>
      <c r="L165" s="129" t="str">
        <f ca="1">IFERROR(__xludf.DUMMYFUNCTION("""COMPUTED_VALUE"""),"วันเรือออกจริง")</f>
        <v>วันเรือออกจริง</v>
      </c>
      <c r="M165" s="129" t="str">
        <f ca="1">IFERROR(__xludf.DUMMYFUNCTION("""COMPUTED_VALUE"""),"วันปล่อยบีแอล")</f>
        <v>วันปล่อยบีแอล</v>
      </c>
    </row>
    <row r="166" spans="1:13" ht="18.75" hidden="1">
      <c r="A166" s="129"/>
      <c r="B166" s="129"/>
      <c r="C166" s="132"/>
      <c r="D166" s="129"/>
      <c r="E166" s="129"/>
      <c r="F166" s="129"/>
      <c r="G166" s="129" t="str">
        <f ca="1">IFERROR(__xludf.DUMMYFUNCTION("""COMPUTED_VALUE"""),"3 days before ETD")</f>
        <v>3 days before ETD</v>
      </c>
      <c r="H166" s="129"/>
      <c r="I166" s="162" t="str">
        <f ca="1">IFERROR(__xludf.DUMMYFUNCTION("""COMPUTED_VALUE"""),"2 days before ETD")</f>
        <v>2 days before ETD</v>
      </c>
      <c r="J166" s="162" t="str">
        <f ca="1">IFERROR(__xludf.DUMMYFUNCTION("""COMPUTED_VALUE"""),"1 days before ETD")</f>
        <v>1 days before ETD</v>
      </c>
      <c r="K166" s="162" t="str">
        <f ca="1">IFERROR(__xludf.DUMMYFUNCTION("""COMPUTED_VALUE"""),"SHOW ON B/L")</f>
        <v>SHOW ON B/L</v>
      </c>
      <c r="L166" s="129"/>
      <c r="M166" s="129"/>
    </row>
    <row r="167" spans="1:13" ht="18.75" hidden="1">
      <c r="A167" s="129" t="str">
        <f ca="1">IFERROR(__xludf.DUMMYFUNCTION("""COMPUTED_VALUE"""),"TRX")</f>
        <v>TRX</v>
      </c>
      <c r="B167" s="129" t="str">
        <f ca="1">IFERROR(__xludf.DUMMYFUNCTION("""COMPUTED_VALUE"""),"TS SURABAYA V.25018N")</f>
        <v>TS SURABAYA V.25018N</v>
      </c>
      <c r="C167" s="132" t="str">
        <f ca="1">IFERROR(__xludf.DUMMYFUNCTION("""COMPUTED_VALUE"""),"THBKK")</f>
        <v>THBKK</v>
      </c>
      <c r="D167" s="129" t="str">
        <f ca="1">IFERROR(__xludf.DUMMYFUNCTION("""COMPUTED_VALUE"""),"30/09/2025 19:30")</f>
        <v>30/09/2025 19:30</v>
      </c>
      <c r="E167" s="129" t="str">
        <f ca="1">IFERROR(__xludf.DUMMYFUNCTION("""COMPUTED_VALUE"""),"32.47 29/09/2025")</f>
        <v>32.47 29/09/2025</v>
      </c>
      <c r="F167" s="238">
        <f ca="1">IFERROR(__xludf.DUMMYFUNCTION("""COMPUTED_VALUE"""),45787.625)</f>
        <v>45787.625</v>
      </c>
      <c r="G167" s="238">
        <f ca="1">IFERROR(__xludf.DUMMYFUNCTION("""COMPUTED_VALUE"""),45818.625)</f>
        <v>45818.625</v>
      </c>
      <c r="H167" s="238">
        <f ca="1">IFERROR(__xludf.DUMMYFUNCTION("""COMPUTED_VALUE"""),45818.625)</f>
        <v>45818.625</v>
      </c>
      <c r="I167" s="246">
        <f ca="1">IFERROR(__xludf.DUMMYFUNCTION("""COMPUTED_VALUE"""),45848.625)</f>
        <v>45848.625</v>
      </c>
      <c r="J167" s="273">
        <f ca="1">IFERROR(__xludf.DUMMYFUNCTION("""COMPUTED_VALUE"""),45879.6666666666)</f>
        <v>45879.666666666599</v>
      </c>
      <c r="K167" s="187">
        <f ca="1">IFERROR(__xludf.DUMMYFUNCTION("""COMPUTED_VALUE"""),45910.7083333333)</f>
        <v>45910.708333333299</v>
      </c>
      <c r="L167" s="238">
        <f ca="1">IFERROR(__xludf.DUMMYFUNCTION("""COMPUTED_VALUE"""),45910.7083333333)</f>
        <v>45910.708333333299</v>
      </c>
      <c r="M167" s="129" t="str">
        <f ca="1">IFERROR(__xludf.DUMMYFUNCTION("""COMPUTED_VALUE"""),"10/10/2025 MORNING")</f>
        <v>10/10/2025 MORNING</v>
      </c>
    </row>
    <row r="168" spans="1:13" ht="18.75" hidden="1">
      <c r="A168" s="278"/>
      <c r="B168" s="278"/>
      <c r="C168" s="279" t="str">
        <f ca="1">IFERROR(__xludf.DUMMYFUNCTION("""COMPUTED_VALUE"""),"THLCB")</f>
        <v>THLCB</v>
      </c>
      <c r="D168" s="282">
        <f ca="1">IFERROR(__xludf.DUMMYFUNCTION("""COMPUTED_VALUE"""),45667.375)</f>
        <v>45667.375</v>
      </c>
      <c r="E168" s="278"/>
      <c r="F168" s="282">
        <f ca="1">IFERROR(__xludf.DUMMYFUNCTION("""COMPUTED_VALUE"""),45818.625)</f>
        <v>45818.625</v>
      </c>
      <c r="G168" s="282">
        <f ca="1">IFERROR(__xludf.DUMMYFUNCTION("""COMPUTED_VALUE"""),45848.625)</f>
        <v>45848.625</v>
      </c>
      <c r="H168" s="282">
        <f ca="1">IFERROR(__xludf.DUMMYFUNCTION("""COMPUTED_VALUE"""),45848.625)</f>
        <v>45848.625</v>
      </c>
      <c r="I168" s="283">
        <f ca="1">IFERROR(__xludf.DUMMYFUNCTION("""COMPUTED_VALUE"""),45879.625)</f>
        <v>45879.625</v>
      </c>
      <c r="J168" s="284">
        <f ca="1">IFERROR(__xludf.DUMMYFUNCTION("""COMPUTED_VALUE"""),45910.6666666666)</f>
        <v>45910.666666666599</v>
      </c>
      <c r="K168" s="285">
        <f ca="1">IFERROR(__xludf.DUMMYFUNCTION("""COMPUTED_VALUE"""),45940.2083333333)</f>
        <v>45940.208333333299</v>
      </c>
      <c r="L168" s="286">
        <f ca="1">IFERROR(__xludf.DUMMYFUNCTION("""COMPUTED_VALUE"""),45940.2916666666)</f>
        <v>45940.291666666599</v>
      </c>
      <c r="M168" s="278" t="str">
        <f ca="1">IFERROR(__xludf.DUMMYFUNCTION("""COMPUTED_VALUE"""),"10/10/2025 NOON")</f>
        <v>10/10/2025 NOON</v>
      </c>
    </row>
    <row r="169" spans="1:13" ht="18.75" hidden="1">
      <c r="A169" s="278" t="str">
        <f ca="1">IFERROR(__xludf.DUMMYFUNCTION("""COMPUTED_VALUE"""),"CHT")</f>
        <v>CHT</v>
      </c>
      <c r="B169" s="278" t="str">
        <f ca="1">IFERROR(__xludf.DUMMYFUNCTION("""COMPUTED_VALUE"""),"KMTC TAIPEIS V.2511N")</f>
        <v>KMTC TAIPEIS V.2511N</v>
      </c>
      <c r="C169" s="279" t="str">
        <f ca="1">IFERROR(__xludf.DUMMYFUNCTION("""COMPUTED_VALUE"""),"THBKK")</f>
        <v>THBKK</v>
      </c>
      <c r="D169" s="278" t="str">
        <f ca="1">IFERROR(__xludf.DUMMYFUNCTION("""COMPUTED_VALUE"""),"24/09/2025 08:00")</f>
        <v>24/09/2025 08:00</v>
      </c>
      <c r="E169" s="278" t="str">
        <f ca="1">IFERROR(__xludf.DUMMYFUNCTION("""COMPUTED_VALUE"""),"32.44 26/09/2025")</f>
        <v>32.44 26/09/2025</v>
      </c>
      <c r="F169" s="282">
        <f ca="1">IFERROR(__xludf.DUMMYFUNCTION("""COMPUTED_VALUE"""),45698.625)</f>
        <v>45698.625</v>
      </c>
      <c r="G169" s="282">
        <f ca="1">IFERROR(__xludf.DUMMYFUNCTION("""COMPUTED_VALUE"""),45726.625)</f>
        <v>45726.625</v>
      </c>
      <c r="H169" s="282">
        <f ca="1">IFERROR(__xludf.DUMMYFUNCTION("""COMPUTED_VALUE"""),45726.625)</f>
        <v>45726.625</v>
      </c>
      <c r="I169" s="283">
        <f ca="1">IFERROR(__xludf.DUMMYFUNCTION("""COMPUTED_VALUE"""),45757.625)</f>
        <v>45757.625</v>
      </c>
      <c r="J169" s="284">
        <f ca="1">IFERROR(__xludf.DUMMYFUNCTION("""COMPUTED_VALUE"""),45787.6666666666)</f>
        <v>45787.666666666599</v>
      </c>
      <c r="K169" s="283">
        <f ca="1">IFERROR(__xludf.DUMMYFUNCTION("""COMPUTED_VALUE"""),45818.5)</f>
        <v>45818.5</v>
      </c>
      <c r="L169" s="282">
        <f ca="1">IFERROR(__xludf.DUMMYFUNCTION("""COMPUTED_VALUE"""),45818.5)</f>
        <v>45818.5</v>
      </c>
      <c r="M169" s="278" t="str">
        <f ca="1">IFERROR(__xludf.DUMMYFUNCTION("""COMPUTED_VALUE"""),"06/10/2025 NOON")</f>
        <v>06/10/2025 NOON</v>
      </c>
    </row>
    <row r="170" spans="1:13" ht="18.75" hidden="1">
      <c r="A170" s="278"/>
      <c r="B170" s="278"/>
      <c r="C170" s="279" t="str">
        <f ca="1">IFERROR(__xludf.DUMMYFUNCTION("""COMPUTED_VALUE"""),"THLCB")</f>
        <v>THLCB</v>
      </c>
      <c r="D170" s="278" t="str">
        <f ca="1">IFERROR(__xludf.DUMMYFUNCTION("""COMPUTED_VALUE"""),"25/09/2025 04:00")</f>
        <v>25/09/2025 04:00</v>
      </c>
      <c r="E170" s="278"/>
      <c r="F170" s="282">
        <f ca="1">IFERROR(__xludf.DUMMYFUNCTION("""COMPUTED_VALUE"""),45726.625)</f>
        <v>45726.625</v>
      </c>
      <c r="G170" s="282">
        <f ca="1">IFERROR(__xludf.DUMMYFUNCTION("""COMPUTED_VALUE"""),45757.625)</f>
        <v>45757.625</v>
      </c>
      <c r="H170" s="282">
        <f ca="1">IFERROR(__xludf.DUMMYFUNCTION("""COMPUTED_VALUE"""),45757.625)</f>
        <v>45757.625</v>
      </c>
      <c r="I170" s="283">
        <f ca="1">IFERROR(__xludf.DUMMYFUNCTION("""COMPUTED_VALUE"""),45787.625)</f>
        <v>45787.625</v>
      </c>
      <c r="J170" s="284">
        <f ca="1">IFERROR(__xludf.DUMMYFUNCTION("""COMPUTED_VALUE"""),45818.6666666666)</f>
        <v>45818.666666666599</v>
      </c>
      <c r="K170" s="283">
        <f ca="1">IFERROR(__xludf.DUMMYFUNCTION("""COMPUTED_VALUE"""),45848.3333333333)</f>
        <v>45848.333333333299</v>
      </c>
      <c r="L170" s="282">
        <f ca="1">IFERROR(__xludf.DUMMYFUNCTION("""COMPUTED_VALUE"""),45848.2916666666)</f>
        <v>45848.291666666599</v>
      </c>
      <c r="M170" s="278" t="str">
        <f ca="1">IFERROR(__xludf.DUMMYFUNCTION("""COMPUTED_VALUE"""),"07/10/2025 NOON")</f>
        <v>07/10/2025 NOON</v>
      </c>
    </row>
    <row r="171" spans="1:13" ht="18.75" hidden="1">
      <c r="A171" s="278" t="str">
        <f ca="1">IFERROR(__xludf.DUMMYFUNCTION("""COMPUTED_VALUE"""),"JTX")</f>
        <v>JTX</v>
      </c>
      <c r="B171" s="278" t="str">
        <f ca="1">IFERROR(__xludf.DUMMYFUNCTION("""COMPUTED_VALUE"""),"CNC JAWA V.0QILUN")</f>
        <v>CNC JAWA V.0QILUN</v>
      </c>
      <c r="C171" s="279" t="str">
        <f ca="1">IFERROR(__xludf.DUMMYFUNCTION("""COMPUTED_VALUE"""),"THLCB")</f>
        <v>THLCB</v>
      </c>
      <c r="D171" s="282">
        <f ca="1">IFERROR(__xludf.DUMMYFUNCTION("""COMPUTED_VALUE"""),45726.9166666666)</f>
        <v>45726.916666666599</v>
      </c>
      <c r="E171" s="278" t="str">
        <f ca="1">IFERROR(__xludf.DUMMYFUNCTION("""COMPUTED_VALUE"""),"32.63 30/09/2025")</f>
        <v>32.63 30/09/2025</v>
      </c>
      <c r="F171" s="282">
        <f ca="1">IFERROR(__xludf.DUMMYFUNCTION("""COMPUTED_VALUE"""),45787.625)</f>
        <v>45787.625</v>
      </c>
      <c r="G171" s="282">
        <f ca="1">IFERROR(__xludf.DUMMYFUNCTION("""COMPUTED_VALUE"""),45818.625)</f>
        <v>45818.625</v>
      </c>
      <c r="H171" s="282">
        <f ca="1">IFERROR(__xludf.DUMMYFUNCTION("""COMPUTED_VALUE"""),45818.625)</f>
        <v>45818.625</v>
      </c>
      <c r="I171" s="283">
        <f ca="1">IFERROR(__xludf.DUMMYFUNCTION("""COMPUTED_VALUE"""),45848.625)</f>
        <v>45848.625</v>
      </c>
      <c r="J171" s="284">
        <f ca="1">IFERROR(__xludf.DUMMYFUNCTION("""COMPUTED_VALUE"""),45879.6666666666)</f>
        <v>45879.666666666599</v>
      </c>
      <c r="K171" s="285">
        <f ca="1">IFERROR(__xludf.DUMMYFUNCTION("""COMPUTED_VALUE"""),45910.125)</f>
        <v>45910.125</v>
      </c>
      <c r="L171" s="282">
        <f ca="1">IFERROR(__xludf.DUMMYFUNCTION("""COMPUTED_VALUE"""),45910.2083333333)</f>
        <v>45910.208333333299</v>
      </c>
      <c r="M171" s="278" t="str">
        <f ca="1">IFERROR(__xludf.DUMMYFUNCTION("""COMPUTED_VALUE"""),"09/10/2025 NOON")</f>
        <v>09/10/2025 NOON</v>
      </c>
    </row>
    <row r="172" spans="1:13" ht="18.75" hidden="1">
      <c r="A172" s="278"/>
      <c r="B172" s="278"/>
      <c r="C172" s="279"/>
      <c r="D172" s="278"/>
      <c r="E172" s="278"/>
      <c r="F172" s="278"/>
      <c r="G172" s="278"/>
      <c r="H172" s="278"/>
      <c r="I172" s="280"/>
      <c r="J172" s="280"/>
      <c r="K172" s="280"/>
      <c r="L172" s="278"/>
      <c r="M172" s="278"/>
    </row>
    <row r="173" spans="1:13" ht="18.75" hidden="1">
      <c r="A173" s="278"/>
      <c r="B173" s="278" t="str">
        <f ca="1">IFERROR(__xludf.DUMMYFUNCTION("""COMPUTED_VALUE"""),"WEEK 40/2025")</f>
        <v>WEEK 40/2025</v>
      </c>
      <c r="C173" s="279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173" s="278"/>
      <c r="E173" s="278"/>
      <c r="F173" s="278"/>
      <c r="G173" s="278"/>
      <c r="H173" s="278"/>
      <c r="I173" s="280"/>
      <c r="J173" s="280"/>
      <c r="K173" s="280"/>
      <c r="L173" s="278"/>
      <c r="M173" s="278"/>
    </row>
    <row r="174" spans="1:13" ht="18.75" hidden="1">
      <c r="A174" s="278"/>
      <c r="B174" s="278"/>
      <c r="C174" s="279"/>
      <c r="D174" s="278"/>
      <c r="E174" s="278"/>
      <c r="F174" s="278"/>
      <c r="G174" s="278"/>
      <c r="H174" s="278"/>
      <c r="I174" s="280"/>
      <c r="J174" s="280"/>
      <c r="K174" s="280"/>
      <c r="L174" s="278"/>
      <c r="M174" s="278"/>
    </row>
    <row r="175" spans="1:13" ht="18.75" hidden="1">
      <c r="A175" s="278" t="str">
        <f ca="1">IFERROR(__xludf.DUMMYFUNCTION("""COMPUTED_VALUE"""),"SERVICE")</f>
        <v>SERVICE</v>
      </c>
      <c r="B175" s="278" t="str">
        <f ca="1">IFERROR(__xludf.DUMMYFUNCTION("""COMPUTED_VALUE"""),"VESSEL NAME")</f>
        <v>VESSEL NAME</v>
      </c>
      <c r="C175" s="279" t="str">
        <f ca="1">IFERROR(__xludf.DUMMYFUNCTION("""COMPUTED_VALUE"""),"PORT")</f>
        <v>PORT</v>
      </c>
      <c r="D175" s="278" t="str">
        <f ca="1">IFERROR(__xludf.DUMMYFUNCTION("""COMPUTED_VALUE"""),"PERFOMA ETD")</f>
        <v>PERFOMA ETD</v>
      </c>
      <c r="E175" s="278" t="str">
        <f ca="1">IFERROR(__xludf.DUMMYFUNCTION("""COMPUTED_VALUE"""),"EX.RATE/DATE/")</f>
        <v>EX.RATE/DATE/</v>
      </c>
      <c r="F175" s="278" t="str">
        <f ca="1">IFERROR(__xludf.DUMMYFUNCTION("""COMPUTED_VALUE"""),"SI CUT OFF USA,MX")</f>
        <v>SI CUT OFF USA,MX</v>
      </c>
      <c r="G175" s="278" t="str">
        <f ca="1">IFERROR(__xludf.DUMMYFUNCTION("""COMPUTED_VALUE"""),"SI CUT OFF")</f>
        <v>SI CUT OFF</v>
      </c>
      <c r="H175" s="278" t="str">
        <f ca="1">IFERROR(__xludf.DUMMYFUNCTION("""COMPUTED_VALUE"""),"B/L CFM USA,MX")</f>
        <v>B/L CFM USA,MX</v>
      </c>
      <c r="I175" s="280" t="str">
        <f ca="1">IFERROR(__xludf.DUMMYFUNCTION("""COMPUTED_VALUE"""),"B/L CFM CHINA,JP,VN")</f>
        <v>B/L CFM CHINA,JP,VN</v>
      </c>
      <c r="J175" s="280" t="str">
        <f ca="1">IFERROR(__xludf.DUMMYFUNCTION("""COMPUTED_VALUE"""),"B/L CONFIRM")</f>
        <v>B/L CONFIRM</v>
      </c>
      <c r="K175" s="280" t="str">
        <f ca="1">IFERROR(__xludf.DUMMYFUNCTION("""COMPUTED_VALUE"""),"ETD")</f>
        <v>ETD</v>
      </c>
      <c r="L175" s="278" t="str">
        <f ca="1">IFERROR(__xludf.DUMMYFUNCTION("""COMPUTED_VALUE"""),"ATD")</f>
        <v>ATD</v>
      </c>
      <c r="M175" s="278" t="str">
        <f ca="1">IFERROR(__xludf.DUMMYFUNCTION("""COMPUTED_VALUE"""),"B/L ISSUED DATE")</f>
        <v>B/L ISSUED DATE</v>
      </c>
    </row>
    <row r="176" spans="1:13" ht="18.75" hidden="1">
      <c r="A176" s="278"/>
      <c r="B176" s="278"/>
      <c r="C176" s="279"/>
      <c r="D176" s="278"/>
      <c r="E176" s="278" t="str">
        <f ca="1">IFERROR(__xludf.DUMMYFUNCTION("""COMPUTED_VALUE"""),"BANGKOK BANK")</f>
        <v>BANGKOK BANK</v>
      </c>
      <c r="F176" s="278" t="str">
        <f ca="1">IFERROR(__xludf.DUMMYFUNCTION("""COMPUTED_VALUE"""),"4 days before ETD")</f>
        <v>4 days before ETD</v>
      </c>
      <c r="G176" s="278"/>
      <c r="H176" s="278" t="str">
        <f ca="1">IFERROR(__xludf.DUMMYFUNCTION("""COMPUTED_VALUE"""),"3 days before ETD")</f>
        <v>3 days before ETD</v>
      </c>
      <c r="I176" s="280" t="str">
        <f ca="1">IFERROR(__xludf.DUMMYFUNCTION("""COMPUTED_VALUE"""),"Direct port CUT OFF")</f>
        <v>Direct port CUT OFF</v>
      </c>
      <c r="J176" s="280" t="str">
        <f ca="1">IFERROR(__xludf.DUMMYFUNCTION("""COMPUTED_VALUE"""),"Orther port CUT OFF")</f>
        <v>Orther port CUT OFF</v>
      </c>
      <c r="K176" s="280" t="str">
        <f ca="1">IFERROR(__xludf.DUMMYFUNCTION("""COMPUTED_VALUE"""),"ON BOARD DATE")</f>
        <v>ON BOARD DATE</v>
      </c>
      <c r="L176" s="278" t="str">
        <f ca="1">IFERROR(__xludf.DUMMYFUNCTION("""COMPUTED_VALUE"""),"วันเรือออกจริง")</f>
        <v>วันเรือออกจริง</v>
      </c>
      <c r="M176" s="278" t="str">
        <f ca="1">IFERROR(__xludf.DUMMYFUNCTION("""COMPUTED_VALUE"""),"วันปล่อยบีแอล")</f>
        <v>วันปล่อยบีแอล</v>
      </c>
    </row>
    <row r="177" spans="1:13" ht="18.75" hidden="1">
      <c r="A177" s="278"/>
      <c r="B177" s="278"/>
      <c r="C177" s="279"/>
      <c r="D177" s="278"/>
      <c r="E177" s="278"/>
      <c r="F177" s="278"/>
      <c r="G177" s="278" t="str">
        <f ca="1">IFERROR(__xludf.DUMMYFUNCTION("""COMPUTED_VALUE"""),"3 days before ETD")</f>
        <v>3 days before ETD</v>
      </c>
      <c r="H177" s="278"/>
      <c r="I177" s="280" t="str">
        <f ca="1">IFERROR(__xludf.DUMMYFUNCTION("""COMPUTED_VALUE"""),"2 days before ETD")</f>
        <v>2 days before ETD</v>
      </c>
      <c r="J177" s="280" t="str">
        <f ca="1">IFERROR(__xludf.DUMMYFUNCTION("""COMPUTED_VALUE"""),"1 days before ETD")</f>
        <v>1 days before ETD</v>
      </c>
      <c r="K177" s="280" t="str">
        <f ca="1">IFERROR(__xludf.DUMMYFUNCTION("""COMPUTED_VALUE"""),"SHOW ON B/L")</f>
        <v>SHOW ON B/L</v>
      </c>
      <c r="L177" s="278"/>
      <c r="M177" s="278"/>
    </row>
    <row r="178" spans="1:13" ht="18.75" hidden="1">
      <c r="A178" s="278" t="str">
        <f ca="1">IFERROR(__xludf.DUMMYFUNCTION("""COMPUTED_VALUE"""),"CHT")</f>
        <v>CHT</v>
      </c>
      <c r="B178" s="278" t="str">
        <f ca="1">IFERROR(__xludf.DUMMYFUNCTION("""COMPUTED_VALUE"""),"TS TIANJIN V.25010N")</f>
        <v>TS TIANJIN V.25010N</v>
      </c>
      <c r="C178" s="279" t="str">
        <f ca="1">IFERROR(__xludf.DUMMYFUNCTION("""COMPUTED_VALUE"""),"THBKK")</f>
        <v>THBKK</v>
      </c>
      <c r="D178" s="278" t="str">
        <f ca="1">IFERROR(__xludf.DUMMYFUNCTION("""COMPUTED_VALUE"""),"17/09/2025 08:00")</f>
        <v>17/09/2025 08:00</v>
      </c>
      <c r="E178" s="278" t="str">
        <f ca="1">IFERROR(__xludf.DUMMYFUNCTION("""COMPUTED_VALUE"""),"32.24 24/09/2025")</f>
        <v>32.24 24/09/2025</v>
      </c>
      <c r="F178" s="278" t="str">
        <f ca="1">IFERROR(__xludf.DUMMYFUNCTION("""COMPUTED_VALUE"""),"30/09/2025 15:00")</f>
        <v>30/09/2025 15:00</v>
      </c>
      <c r="G178" s="282">
        <f ca="1">IFERROR(__xludf.DUMMYFUNCTION("""COMPUTED_VALUE"""),45667.625)</f>
        <v>45667.625</v>
      </c>
      <c r="H178" s="282">
        <f ca="1">IFERROR(__xludf.DUMMYFUNCTION("""COMPUTED_VALUE"""),45667.625)</f>
        <v>45667.625</v>
      </c>
      <c r="I178" s="283">
        <f ca="1">IFERROR(__xludf.DUMMYFUNCTION("""COMPUTED_VALUE"""),45698.625)</f>
        <v>45698.625</v>
      </c>
      <c r="J178" s="284">
        <f ca="1">IFERROR(__xludf.DUMMYFUNCTION("""COMPUTED_VALUE"""),45726.6666666666)</f>
        <v>45726.666666666599</v>
      </c>
      <c r="K178" s="285">
        <f ca="1">IFERROR(__xludf.DUMMYFUNCTION("""COMPUTED_VALUE"""),45757.5833333333)</f>
        <v>45757.583333333299</v>
      </c>
      <c r="L178" s="282">
        <f ca="1">IFERROR(__xludf.DUMMYFUNCTION("""COMPUTED_VALUE"""),45757.5833333333)</f>
        <v>45757.583333333299</v>
      </c>
      <c r="M178" s="278" t="str">
        <f ca="1">IFERROR(__xludf.DUMMYFUNCTION("""COMPUTED_VALUE"""),"06/10/2025 MORNING")</f>
        <v>06/10/2025 MORNING</v>
      </c>
    </row>
    <row r="179" spans="1:13" ht="18.75" hidden="1">
      <c r="A179" s="278"/>
      <c r="B179" s="278"/>
      <c r="C179" s="279" t="str">
        <f ca="1">IFERROR(__xludf.DUMMYFUNCTION("""COMPUTED_VALUE"""),"THLCB")</f>
        <v>THLCB</v>
      </c>
      <c r="D179" s="278" t="str">
        <f ca="1">IFERROR(__xludf.DUMMYFUNCTION("""COMPUTED_VALUE"""),"18/09/2025 04:00")</f>
        <v>18/09/2025 04:00</v>
      </c>
      <c r="E179" s="278"/>
      <c r="F179" s="278" t="str">
        <f ca="1">IFERROR(__xludf.DUMMYFUNCTION("""COMPUTED_VALUE"""),"30/09/2025 15:00")</f>
        <v>30/09/2025 15:00</v>
      </c>
      <c r="G179" s="282">
        <f ca="1">IFERROR(__xludf.DUMMYFUNCTION("""COMPUTED_VALUE"""),45667.625)</f>
        <v>45667.625</v>
      </c>
      <c r="H179" s="282">
        <f ca="1">IFERROR(__xludf.DUMMYFUNCTION("""COMPUTED_VALUE"""),45667.625)</f>
        <v>45667.625</v>
      </c>
      <c r="I179" s="283">
        <f ca="1">IFERROR(__xludf.DUMMYFUNCTION("""COMPUTED_VALUE"""),45698.625)</f>
        <v>45698.625</v>
      </c>
      <c r="J179" s="284">
        <f ca="1">IFERROR(__xludf.DUMMYFUNCTION("""COMPUTED_VALUE"""),45726.6666666666)</f>
        <v>45726.666666666599</v>
      </c>
      <c r="K179" s="285">
        <f ca="1">IFERROR(__xludf.DUMMYFUNCTION("""COMPUTED_VALUE"""),45787.4166666666)</f>
        <v>45787.416666666599</v>
      </c>
      <c r="L179" s="282">
        <f ca="1">IFERROR(__xludf.DUMMYFUNCTION("""COMPUTED_VALUE"""),45787.4166666666)</f>
        <v>45787.416666666599</v>
      </c>
      <c r="M179" s="278" t="str">
        <f ca="1">IFERROR(__xludf.DUMMYFUNCTION("""COMPUTED_VALUE"""),"06/10/2025 MORNING")</f>
        <v>06/10/2025 MORNING</v>
      </c>
    </row>
    <row r="180" spans="1:13" ht="18.75" hidden="1">
      <c r="A180" s="278"/>
      <c r="B180" s="278"/>
      <c r="C180" s="279"/>
      <c r="D180" s="278"/>
      <c r="E180" s="278"/>
      <c r="F180" s="278"/>
      <c r="G180" s="278"/>
      <c r="H180" s="278"/>
      <c r="I180" s="280"/>
      <c r="J180" s="280"/>
      <c r="K180" s="280"/>
      <c r="L180" s="278"/>
      <c r="M180" s="278"/>
    </row>
    <row r="181" spans="1:13" ht="18.75" hidden="1">
      <c r="A181" s="278"/>
      <c r="B181" s="278" t="str">
        <f ca="1">IFERROR(__xludf.DUMMYFUNCTION("""COMPUTED_VALUE"""),"WEEK 39/2025")</f>
        <v>WEEK 39/2025</v>
      </c>
      <c r="C181" s="279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181" s="278"/>
      <c r="E181" s="278"/>
      <c r="F181" s="278"/>
      <c r="G181" s="278"/>
      <c r="H181" s="278"/>
      <c r="I181" s="280"/>
      <c r="J181" s="280"/>
      <c r="K181" s="280"/>
      <c r="L181" s="278"/>
      <c r="M181" s="278"/>
    </row>
    <row r="182" spans="1:13" ht="18.75" hidden="1">
      <c r="A182" s="278"/>
      <c r="B182" s="278"/>
      <c r="C182" s="279"/>
      <c r="D182" s="278"/>
      <c r="E182" s="278"/>
      <c r="F182" s="278"/>
      <c r="G182" s="278"/>
      <c r="H182" s="278"/>
      <c r="I182" s="280"/>
      <c r="J182" s="280"/>
      <c r="K182" s="280"/>
      <c r="L182" s="278"/>
      <c r="M182" s="278"/>
    </row>
    <row r="183" spans="1:13" ht="18.75" hidden="1">
      <c r="A183" s="278" t="str">
        <f ca="1">IFERROR(__xludf.DUMMYFUNCTION("""COMPUTED_VALUE"""),"SERVICE")</f>
        <v>SERVICE</v>
      </c>
      <c r="B183" s="278" t="str">
        <f ca="1">IFERROR(__xludf.DUMMYFUNCTION("""COMPUTED_VALUE"""),"VESSEL NAME")</f>
        <v>VESSEL NAME</v>
      </c>
      <c r="C183" s="279" t="str">
        <f ca="1">IFERROR(__xludf.DUMMYFUNCTION("""COMPUTED_VALUE"""),"PORT")</f>
        <v>PORT</v>
      </c>
      <c r="D183" s="278" t="str">
        <f ca="1">IFERROR(__xludf.DUMMYFUNCTION("""COMPUTED_VALUE"""),"PERFOMA ETD")</f>
        <v>PERFOMA ETD</v>
      </c>
      <c r="E183" s="278" t="str">
        <f ca="1">IFERROR(__xludf.DUMMYFUNCTION("""COMPUTED_VALUE"""),"EX.RATE/DATE/")</f>
        <v>EX.RATE/DATE/</v>
      </c>
      <c r="F183" s="278" t="str">
        <f ca="1">IFERROR(__xludf.DUMMYFUNCTION("""COMPUTED_VALUE"""),"SI CUT OFF USA,MX")</f>
        <v>SI CUT OFF USA,MX</v>
      </c>
      <c r="G183" s="278" t="str">
        <f ca="1">IFERROR(__xludf.DUMMYFUNCTION("""COMPUTED_VALUE"""),"SI CUT OFF")</f>
        <v>SI CUT OFF</v>
      </c>
      <c r="H183" s="278" t="str">
        <f ca="1">IFERROR(__xludf.DUMMYFUNCTION("""COMPUTED_VALUE"""),"B/L CFM USA,MX")</f>
        <v>B/L CFM USA,MX</v>
      </c>
      <c r="I183" s="280" t="str">
        <f ca="1">IFERROR(__xludf.DUMMYFUNCTION("""COMPUTED_VALUE"""),"B/L CFM CHINA,JP,VN")</f>
        <v>B/L CFM CHINA,JP,VN</v>
      </c>
      <c r="J183" s="280" t="str">
        <f ca="1">IFERROR(__xludf.DUMMYFUNCTION("""COMPUTED_VALUE"""),"B/L CONFIRM")</f>
        <v>B/L CONFIRM</v>
      </c>
      <c r="K183" s="280" t="str">
        <f ca="1">IFERROR(__xludf.DUMMYFUNCTION("""COMPUTED_VALUE"""),"ETD")</f>
        <v>ETD</v>
      </c>
      <c r="L183" s="278" t="str">
        <f ca="1">IFERROR(__xludf.DUMMYFUNCTION("""COMPUTED_VALUE"""),"ATD")</f>
        <v>ATD</v>
      </c>
      <c r="M183" s="278" t="str">
        <f ca="1">IFERROR(__xludf.DUMMYFUNCTION("""COMPUTED_VALUE"""),"B/L ISSUED DATE")</f>
        <v>B/L ISSUED DATE</v>
      </c>
    </row>
    <row r="184" spans="1:13" ht="18.75" hidden="1">
      <c r="A184" s="278"/>
      <c r="B184" s="278"/>
      <c r="C184" s="279"/>
      <c r="D184" s="278"/>
      <c r="E184" s="278" t="str">
        <f ca="1">IFERROR(__xludf.DUMMYFUNCTION("""COMPUTED_VALUE"""),"BANGKOK BANK")</f>
        <v>BANGKOK BANK</v>
      </c>
      <c r="F184" s="278" t="str">
        <f ca="1">IFERROR(__xludf.DUMMYFUNCTION("""COMPUTED_VALUE"""),"4 days before ETD")</f>
        <v>4 days before ETD</v>
      </c>
      <c r="G184" s="278"/>
      <c r="H184" s="278" t="str">
        <f ca="1">IFERROR(__xludf.DUMMYFUNCTION("""COMPUTED_VALUE"""),"3 days before ETD")</f>
        <v>3 days before ETD</v>
      </c>
      <c r="I184" s="280" t="str">
        <f ca="1">IFERROR(__xludf.DUMMYFUNCTION("""COMPUTED_VALUE"""),"Direct port CUT OFF")</f>
        <v>Direct port CUT OFF</v>
      </c>
      <c r="J184" s="280" t="str">
        <f ca="1">IFERROR(__xludf.DUMMYFUNCTION("""COMPUTED_VALUE"""),"Orther port CUT OFF")</f>
        <v>Orther port CUT OFF</v>
      </c>
      <c r="K184" s="280" t="str">
        <f ca="1">IFERROR(__xludf.DUMMYFUNCTION("""COMPUTED_VALUE"""),"ON BOARD DATE")</f>
        <v>ON BOARD DATE</v>
      </c>
      <c r="L184" s="278" t="str">
        <f ca="1">IFERROR(__xludf.DUMMYFUNCTION("""COMPUTED_VALUE"""),"วันเรือออกจริง")</f>
        <v>วันเรือออกจริง</v>
      </c>
      <c r="M184" s="278" t="str">
        <f ca="1">IFERROR(__xludf.DUMMYFUNCTION("""COMPUTED_VALUE"""),"วันปล่อยบีแอล")</f>
        <v>วันปล่อยบีแอล</v>
      </c>
    </row>
    <row r="185" spans="1:13" ht="18.75" hidden="1">
      <c r="A185" s="278"/>
      <c r="B185" s="278"/>
      <c r="C185" s="279"/>
      <c r="D185" s="278"/>
      <c r="E185" s="278"/>
      <c r="F185" s="278"/>
      <c r="G185" s="278" t="str">
        <f ca="1">IFERROR(__xludf.DUMMYFUNCTION("""COMPUTED_VALUE"""),"3 days before ETD")</f>
        <v>3 days before ETD</v>
      </c>
      <c r="H185" s="278"/>
      <c r="I185" s="280" t="str">
        <f ca="1">IFERROR(__xludf.DUMMYFUNCTION("""COMPUTED_VALUE"""),"2 days before ETD")</f>
        <v>2 days before ETD</v>
      </c>
      <c r="J185" s="280" t="str">
        <f ca="1">IFERROR(__xludf.DUMMYFUNCTION("""COMPUTED_VALUE"""),"1 days before ETD")</f>
        <v>1 days before ETD</v>
      </c>
      <c r="K185" s="280" t="str">
        <f ca="1">IFERROR(__xludf.DUMMYFUNCTION("""COMPUTED_VALUE"""),"SHOW ON B/L")</f>
        <v>SHOW ON B/L</v>
      </c>
      <c r="L185" s="278"/>
      <c r="M185" s="278"/>
    </row>
    <row r="186" spans="1:13" ht="18.75" hidden="1">
      <c r="A186" s="278" t="str">
        <f ca="1">IFERROR(__xludf.DUMMYFUNCTION("""COMPUTED_VALUE"""),"TRX")</f>
        <v>TRX</v>
      </c>
      <c r="B186" s="278" t="str">
        <f ca="1">IFERROR(__xludf.DUMMYFUNCTION("""COMPUTED_VALUE"""),"CHANA BHUM V.905N")</f>
        <v>CHANA BHUM V.905N</v>
      </c>
      <c r="C186" s="279" t="str">
        <f ca="1">IFERROR(__xludf.DUMMYFUNCTION("""COMPUTED_VALUE"""),"THBKK")</f>
        <v>THBKK</v>
      </c>
      <c r="D186" s="278" t="str">
        <f ca="1">IFERROR(__xludf.DUMMYFUNCTION("""COMPUTED_VALUE"""),"23/09/2025 19:30")</f>
        <v>23/09/2025 19:30</v>
      </c>
      <c r="E186" s="278" t="str">
        <f ca="1">IFERROR(__xludf.DUMMYFUNCTION("""COMPUTED_VALUE"""),"31.95 16/09/2025")</f>
        <v>31.95 16/09/2025</v>
      </c>
      <c r="F186" s="278" t="str">
        <f ca="1">IFERROR(__xludf.DUMMYFUNCTION("""COMPUTED_VALUE"""),"21/09/2025 15:00")</f>
        <v>21/09/2025 15:00</v>
      </c>
      <c r="G186" s="278" t="str">
        <f ca="1">IFERROR(__xludf.DUMMYFUNCTION("""COMPUTED_VALUE"""),"22/09/2025 15:00")</f>
        <v>22/09/2025 15:00</v>
      </c>
      <c r="H186" s="278" t="str">
        <f ca="1">IFERROR(__xludf.DUMMYFUNCTION("""COMPUTED_VALUE"""),"22/09/2025 15:00")</f>
        <v>22/09/2025 15:00</v>
      </c>
      <c r="I186" s="280" t="str">
        <f ca="1">IFERROR(__xludf.DUMMYFUNCTION("""COMPUTED_VALUE"""),"23/09/2025 15:00")</f>
        <v>23/09/2025 15:00</v>
      </c>
      <c r="J186" s="280" t="str">
        <f ca="1">IFERROR(__xludf.DUMMYFUNCTION("""COMPUTED_VALUE"""),"24/09/2025 16:00")</f>
        <v>24/09/2025 16:00</v>
      </c>
      <c r="K186" s="280" t="str">
        <f ca="1">IFERROR(__xludf.DUMMYFUNCTION("""COMPUTED_VALUE"""),"25/09/2025 06:00")</f>
        <v>25/09/2025 06:00</v>
      </c>
      <c r="L186" s="278" t="str">
        <f ca="1">IFERROR(__xludf.DUMMYFUNCTION("""COMPUTED_VALUE"""),"25/09/2025 06:00")</f>
        <v>25/09/2025 06:00</v>
      </c>
      <c r="M186" s="278" t="str">
        <f ca="1">IFERROR(__xludf.DUMMYFUNCTION("""COMPUTED_VALUE"""),"25/09/2025 NOON")</f>
        <v>25/09/2025 NOON</v>
      </c>
    </row>
    <row r="187" spans="1:13" ht="18.75" hidden="1">
      <c r="A187" s="278"/>
      <c r="B187" s="278"/>
      <c r="C187" s="279" t="str">
        <f ca="1">IFERROR(__xludf.DUMMYFUNCTION("""COMPUTED_VALUE"""),"THLCB")</f>
        <v>THLCB</v>
      </c>
      <c r="D187" s="278" t="str">
        <f ca="1">IFERROR(__xludf.DUMMYFUNCTION("""COMPUTED_VALUE"""),"25/09/2025 09:00")</f>
        <v>25/09/2025 09:00</v>
      </c>
      <c r="E187" s="278"/>
      <c r="F187" s="278" t="str">
        <f ca="1">IFERROR(__xludf.DUMMYFUNCTION("""COMPUTED_VALUE"""),"21/09/2025 15:00")</f>
        <v>21/09/2025 15:00</v>
      </c>
      <c r="G187" s="278" t="str">
        <f ca="1">IFERROR(__xludf.DUMMYFUNCTION("""COMPUTED_VALUE"""),"22/09/2025 15:00")</f>
        <v>22/09/2025 15:00</v>
      </c>
      <c r="H187" s="278" t="str">
        <f ca="1">IFERROR(__xludf.DUMMYFUNCTION("""COMPUTED_VALUE"""),"22/09/2025 15:00")</f>
        <v>22/09/2025 15:00</v>
      </c>
      <c r="I187" s="280" t="str">
        <f ca="1">IFERROR(__xludf.DUMMYFUNCTION("""COMPUTED_VALUE"""),"23/09/2025 15:00")</f>
        <v>23/09/2025 15:00</v>
      </c>
      <c r="J187" s="280" t="str">
        <f ca="1">IFERROR(__xludf.DUMMYFUNCTION("""COMPUTED_VALUE"""),"24/09/2025 16:00")</f>
        <v>24/09/2025 16:00</v>
      </c>
      <c r="K187" s="280" t="str">
        <f ca="1">IFERROR(__xludf.DUMMYFUNCTION("""COMPUTED_VALUE"""),"25/09/2025 18:00")</f>
        <v>25/09/2025 18:00</v>
      </c>
      <c r="L187" s="278" t="str">
        <f ca="1">IFERROR(__xludf.DUMMYFUNCTION("""COMPUTED_VALUE"""),"25/09/2025 19:48")</f>
        <v>25/09/2025 19:48</v>
      </c>
      <c r="M187" s="278" t="str">
        <f ca="1">IFERROR(__xludf.DUMMYFUNCTION("""COMPUTED_VALUE"""),"26/09/2025 MORNING")</f>
        <v>26/09/2025 MORNING</v>
      </c>
    </row>
    <row r="188" spans="1:13" ht="18.75" hidden="1">
      <c r="A188" s="278" t="str">
        <f ca="1">IFERROR(__xludf.DUMMYFUNCTION("""COMPUTED_VALUE"""),"CHT")</f>
        <v>CHT</v>
      </c>
      <c r="B188" s="278" t="str">
        <f ca="1">IFERROR(__xludf.DUMMYFUNCTION("""COMPUTED_VALUE"""),"SAWASDEE RIGEL V.2510N")</f>
        <v>SAWASDEE RIGEL V.2510N</v>
      </c>
      <c r="C188" s="279" t="str">
        <f ca="1">IFERROR(__xludf.DUMMYFUNCTION("""COMPUTED_VALUE"""),"THBKK")</f>
        <v>THBKK</v>
      </c>
      <c r="D188" s="278" t="str">
        <f ca="1">IFERROR(__xludf.DUMMYFUNCTION("""COMPUTED_VALUE"""),"17/09/2025 08:00")</f>
        <v>17/09/2025 08:00</v>
      </c>
      <c r="E188" s="278" t="str">
        <f ca="1">IFERROR(__xludf.DUMMYFUNCTION("""COMPUTED_VALUE"""),"31.96 12/09/2025")</f>
        <v>31.96 12/09/2025</v>
      </c>
      <c r="F188" s="278" t="str">
        <f ca="1">IFERROR(__xludf.DUMMYFUNCTION("""COMPUTED_VALUE"""),"20/09/2025 15:00")</f>
        <v>20/09/2025 15:00</v>
      </c>
      <c r="G188" s="278" t="str">
        <f ca="1">IFERROR(__xludf.DUMMYFUNCTION("""COMPUTED_VALUE"""),"21/09/2025 15:00")</f>
        <v>21/09/2025 15:00</v>
      </c>
      <c r="H188" s="278" t="str">
        <f ca="1">IFERROR(__xludf.DUMMYFUNCTION("""COMPUTED_VALUE"""),"21/09/2025 15:00")</f>
        <v>21/09/2025 15:00</v>
      </c>
      <c r="I188" s="280" t="str">
        <f ca="1">IFERROR(__xludf.DUMMYFUNCTION("""COMPUTED_VALUE"""),"22/09/2025 15:00")</f>
        <v>22/09/2025 15:00</v>
      </c>
      <c r="J188" s="280" t="str">
        <f ca="1">IFERROR(__xludf.DUMMYFUNCTION("""COMPUTED_VALUE"""),"23/09/2025 16:00")</f>
        <v>23/09/2025 16:00</v>
      </c>
      <c r="K188" s="280" t="str">
        <f ca="1">IFERROR(__xludf.DUMMYFUNCTION("""COMPUTED_VALUE"""),"24/09/2025 15:00")</f>
        <v>24/09/2025 15:00</v>
      </c>
      <c r="L188" s="278" t="str">
        <f ca="1">IFERROR(__xludf.DUMMYFUNCTION("""COMPUTED_VALUE"""),"24/09/2025 15:00")</f>
        <v>24/09/2025 15:00</v>
      </c>
      <c r="M188" s="278" t="str">
        <f ca="1">IFERROR(__xludf.DUMMYFUNCTION("""COMPUTED_VALUE"""),"25/09/2025 MORNING")</f>
        <v>25/09/2025 MORNING</v>
      </c>
    </row>
    <row r="189" spans="1:13" ht="18.75" hidden="1">
      <c r="A189" s="278"/>
      <c r="B189" s="278"/>
      <c r="C189" s="279" t="str">
        <f ca="1">IFERROR(__xludf.DUMMYFUNCTION("""COMPUTED_VALUE"""),"THLCB")</f>
        <v>THLCB</v>
      </c>
      <c r="D189" s="278" t="str">
        <f ca="1">IFERROR(__xludf.DUMMYFUNCTION("""COMPUTED_VALUE"""),"18/09/2025 04:00")</f>
        <v>18/09/2025 04:00</v>
      </c>
      <c r="E189" s="278"/>
      <c r="F189" s="278" t="str">
        <f ca="1">IFERROR(__xludf.DUMMYFUNCTION("""COMPUTED_VALUE"""),"21/09/2025 15:00")</f>
        <v>21/09/2025 15:00</v>
      </c>
      <c r="G189" s="278" t="str">
        <f ca="1">IFERROR(__xludf.DUMMYFUNCTION("""COMPUTED_VALUE"""),"22/09/2025 15:00")</f>
        <v>22/09/2025 15:00</v>
      </c>
      <c r="H189" s="278" t="str">
        <f ca="1">IFERROR(__xludf.DUMMYFUNCTION("""COMPUTED_VALUE"""),"22/09/2025 15:00")</f>
        <v>22/09/2025 15:00</v>
      </c>
      <c r="I189" s="280" t="str">
        <f ca="1">IFERROR(__xludf.DUMMYFUNCTION("""COMPUTED_VALUE"""),"23/09/2025 15:00")</f>
        <v>23/09/2025 15:00</v>
      </c>
      <c r="J189" s="280" t="str">
        <f ca="1">IFERROR(__xludf.DUMMYFUNCTION("""COMPUTED_VALUE"""),"24/09/2025 16:00")</f>
        <v>24/09/2025 16:00</v>
      </c>
      <c r="K189" s="280" t="str">
        <f ca="1">IFERROR(__xludf.DUMMYFUNCTION("""COMPUTED_VALUE"""),"25/09/2025 06:00")</f>
        <v>25/09/2025 06:00</v>
      </c>
      <c r="L189" s="278" t="str">
        <f ca="1">IFERROR(__xludf.DUMMYFUNCTION("""COMPUTED_VALUE"""),"25/09/2025 06:00")</f>
        <v>25/09/2025 06:00</v>
      </c>
      <c r="M189" s="278" t="str">
        <f ca="1">IFERROR(__xludf.DUMMYFUNCTION("""COMPUTED_VALUE"""),"25/09/2025 NOON")</f>
        <v>25/09/2025 NOON</v>
      </c>
    </row>
    <row r="190" spans="1:13" ht="18.75" hidden="1">
      <c r="A190" s="278" t="str">
        <f ca="1">IFERROR(__xludf.DUMMYFUNCTION("""COMPUTED_VALUE"""),"CVT")</f>
        <v>CVT</v>
      </c>
      <c r="B190" s="278" t="str">
        <f ca="1">IFERROR(__xludf.DUMMYFUNCTION("""COMPUTED_VALUE"""),"KMTC POHANG V.2511N")</f>
        <v>KMTC POHANG V.2511N</v>
      </c>
      <c r="C190" s="279" t="str">
        <f ca="1">IFERROR(__xludf.DUMMYFUNCTION("""COMPUTED_VALUE"""),"THBKK")</f>
        <v>THBKK</v>
      </c>
      <c r="D190" s="278" t="str">
        <f ca="1">IFERROR(__xludf.DUMMYFUNCTION("""COMPUTED_VALUE"""),"18/09/2025 08:00")</f>
        <v>18/09/2025 08:00</v>
      </c>
      <c r="E190" s="278" t="str">
        <f ca="1">IFERROR(__xludf.DUMMYFUNCTION("""COMPUTED_VALUE"""),"32.15 15/09/2025")</f>
        <v>32.15 15/09/2025</v>
      </c>
      <c r="F190" s="278" t="str">
        <f ca="1">IFERROR(__xludf.DUMMYFUNCTION("""COMPUTED_VALUE"""),"18/09/2025 15:00")</f>
        <v>18/09/2025 15:00</v>
      </c>
      <c r="G190" s="278" t="str">
        <f ca="1">IFERROR(__xludf.DUMMYFUNCTION("""COMPUTED_VALUE"""),"19/09/2025 15:00")</f>
        <v>19/09/2025 15:00</v>
      </c>
      <c r="H190" s="278" t="str">
        <f ca="1">IFERROR(__xludf.DUMMYFUNCTION("""COMPUTED_VALUE"""),"19/09/2025 15:00")</f>
        <v>19/09/2025 15:00</v>
      </c>
      <c r="I190" s="280" t="str">
        <f ca="1">IFERROR(__xludf.DUMMYFUNCTION("""COMPUTED_VALUE"""),"21/09/2025 15:00")</f>
        <v>21/09/2025 15:00</v>
      </c>
      <c r="J190" s="280" t="str">
        <f ca="1">IFERROR(__xludf.DUMMYFUNCTION("""COMPUTED_VALUE"""),"22/09/2025 16:00")</f>
        <v>22/09/2025 16:00</v>
      </c>
      <c r="K190" s="280" t="str">
        <f ca="1">IFERROR(__xludf.DUMMYFUNCTION("""COMPUTED_VALUE"""),"23/09/2025 16:00")</f>
        <v>23/09/2025 16:00</v>
      </c>
      <c r="L190" s="278" t="str">
        <f ca="1">IFERROR(__xludf.DUMMYFUNCTION("""COMPUTED_VALUE"""),"23/09/2025 14:00")</f>
        <v>23/09/2025 14:00</v>
      </c>
      <c r="M190" s="278" t="str">
        <f ca="1">IFERROR(__xludf.DUMMYFUNCTION("""COMPUTED_VALUE"""),"24/09/2025 MORNING")</f>
        <v>24/09/2025 MORNING</v>
      </c>
    </row>
    <row r="191" spans="1:13" ht="18.75" hidden="1">
      <c r="A191" s="278"/>
      <c r="B191" s="278"/>
      <c r="C191" s="279" t="str">
        <f ca="1">IFERROR(__xludf.DUMMYFUNCTION("""COMPUTED_VALUE"""),"THLCB")</f>
        <v>THLCB</v>
      </c>
      <c r="D191" s="278" t="str">
        <f ca="1">IFERROR(__xludf.DUMMYFUNCTION("""COMPUTED_VALUE"""),"19/09/2025 04:00")</f>
        <v>19/09/2025 04:00</v>
      </c>
      <c r="E191" s="278"/>
      <c r="F191" s="278" t="str">
        <f ca="1">IFERROR(__xludf.DUMMYFUNCTION("""COMPUTED_VALUE"""),"20/09/2025 15:00")</f>
        <v>20/09/2025 15:00</v>
      </c>
      <c r="G191" s="278" t="str">
        <f ca="1">IFERROR(__xludf.DUMMYFUNCTION("""COMPUTED_VALUE"""),"21/09/2025 15:00")</f>
        <v>21/09/2025 15:00</v>
      </c>
      <c r="H191" s="278" t="str">
        <f ca="1">IFERROR(__xludf.DUMMYFUNCTION("""COMPUTED_VALUE"""),"21/09/2025 15:00")</f>
        <v>21/09/2025 15:00</v>
      </c>
      <c r="I191" s="280" t="str">
        <f ca="1">IFERROR(__xludf.DUMMYFUNCTION("""COMPUTED_VALUE"""),"22/09/2025 15:00")</f>
        <v>22/09/2025 15:00</v>
      </c>
      <c r="J191" s="280" t="str">
        <f ca="1">IFERROR(__xludf.DUMMYFUNCTION("""COMPUTED_VALUE"""),"23/09/2025 16:00")</f>
        <v>23/09/2025 16:00</v>
      </c>
      <c r="K191" s="280" t="str">
        <f ca="1">IFERROR(__xludf.DUMMYFUNCTION("""COMPUTED_VALUE"""),"24/09/2025 16:00")</f>
        <v>24/09/2025 16:00</v>
      </c>
      <c r="L191" s="278" t="str">
        <f ca="1">IFERROR(__xludf.DUMMYFUNCTION("""COMPUTED_VALUE"""),"24/09/2025 17:00")</f>
        <v>24/09/2025 17:00</v>
      </c>
      <c r="M191" s="278" t="str">
        <f ca="1">IFERROR(__xludf.DUMMYFUNCTION("""COMPUTED_VALUE"""),"25/09/2025 MORNING")</f>
        <v>25/09/2025 MORNING</v>
      </c>
    </row>
    <row r="192" spans="1:13" ht="18.75" hidden="1">
      <c r="A192" s="278" t="str">
        <f ca="1">IFERROR(__xludf.DUMMYFUNCTION("""COMPUTED_VALUE"""),"CVT")</f>
        <v>CVT</v>
      </c>
      <c r="B192" s="278" t="str">
        <f ca="1">IFERROR(__xludf.DUMMYFUNCTION("""COMPUTED_VALUE"""),"TS INCHEON V.25037N")</f>
        <v>TS INCHEON V.25037N</v>
      </c>
      <c r="C192" s="279" t="str">
        <f ca="1">IFERROR(__xludf.DUMMYFUNCTION("""COMPUTED_VALUE"""),"THBKK")</f>
        <v>THBKK</v>
      </c>
      <c r="D192" s="278" t="str">
        <f ca="1">IFERROR(__xludf.DUMMYFUNCTION("""COMPUTED_VALUE"""),"25/09/2025 08:00")</f>
        <v>25/09/2025 08:00</v>
      </c>
      <c r="E192" s="278" t="str">
        <f ca="1">IFERROR(__xludf.DUMMYFUNCTION("""COMPUTED_VALUE"""),"32.1 19/09/2025")</f>
        <v>32.1 19/09/2025</v>
      </c>
      <c r="F192" s="278" t="str">
        <f ca="1">IFERROR(__xludf.DUMMYFUNCTION("""COMPUTED_VALUE"""),"23/09/2025 15:00")</f>
        <v>23/09/2025 15:00</v>
      </c>
      <c r="G192" s="278" t="str">
        <f ca="1">IFERROR(__xludf.DUMMYFUNCTION("""COMPUTED_VALUE"""),"24/09/2025 15:00")</f>
        <v>24/09/2025 15:00</v>
      </c>
      <c r="H192" s="278" t="str">
        <f ca="1">IFERROR(__xludf.DUMMYFUNCTION("""COMPUTED_VALUE"""),"24/09/2025 15:00")</f>
        <v>24/09/2025 15:00</v>
      </c>
      <c r="I192" s="280" t="str">
        <f ca="1">IFERROR(__xludf.DUMMYFUNCTION("""COMPUTED_VALUE"""),"25/09/2025 15:00")</f>
        <v>25/09/2025 15:00</v>
      </c>
      <c r="J192" s="280" t="str">
        <f ca="1">IFERROR(__xludf.DUMMYFUNCTION("""COMPUTED_VALUE"""),"26/09/2025 16:00")</f>
        <v>26/09/2025 16:00</v>
      </c>
      <c r="K192" s="280" t="str">
        <f ca="1">IFERROR(__xludf.DUMMYFUNCTION("""COMPUTED_VALUE"""),"27/09/2025 07:00")</f>
        <v>27/09/2025 07:00</v>
      </c>
      <c r="L192" s="278" t="str">
        <f ca="1">IFERROR(__xludf.DUMMYFUNCTION("""COMPUTED_VALUE"""),"27/09/2025 07:00")</f>
        <v>27/09/2025 07:00</v>
      </c>
      <c r="M192" s="278" t="str">
        <f ca="1">IFERROR(__xludf.DUMMYFUNCTION("""COMPUTED_VALUE"""),"NO CARGO LOAD")</f>
        <v>NO CARGO LOAD</v>
      </c>
    </row>
    <row r="193" spans="1:13" ht="18.75" hidden="1">
      <c r="A193" s="278"/>
      <c r="B193" s="278"/>
      <c r="C193" s="279" t="str">
        <f ca="1">IFERROR(__xludf.DUMMYFUNCTION("""COMPUTED_VALUE"""),"THLCB")</f>
        <v>THLCB</v>
      </c>
      <c r="D193" s="278" t="str">
        <f ca="1">IFERROR(__xludf.DUMMYFUNCTION("""COMPUTED_VALUE"""),"26/09/2025 04:00")</f>
        <v>26/09/2025 04:00</v>
      </c>
      <c r="E193" s="278"/>
      <c r="F193" s="278" t="str">
        <f ca="1">IFERROR(__xludf.DUMMYFUNCTION("""COMPUTED_VALUE"""),"23/09/2025 15:00")</f>
        <v>23/09/2025 15:00</v>
      </c>
      <c r="G193" s="278" t="str">
        <f ca="1">IFERROR(__xludf.DUMMYFUNCTION("""COMPUTED_VALUE"""),"24/09/2025 15:00")</f>
        <v>24/09/2025 15:00</v>
      </c>
      <c r="H193" s="278" t="str">
        <f ca="1">IFERROR(__xludf.DUMMYFUNCTION("""COMPUTED_VALUE"""),"24/09/2025 15:00")</f>
        <v>24/09/2025 15:00</v>
      </c>
      <c r="I193" s="280" t="str">
        <f ca="1">IFERROR(__xludf.DUMMYFUNCTION("""COMPUTED_VALUE"""),"25/09/2025 15:00")</f>
        <v>25/09/2025 15:00</v>
      </c>
      <c r="J193" s="280" t="str">
        <f ca="1">IFERROR(__xludf.DUMMYFUNCTION("""COMPUTED_VALUE"""),"26/09/2025 16:00")</f>
        <v>26/09/2025 16:00</v>
      </c>
      <c r="K193" s="280" t="str">
        <f ca="1">IFERROR(__xludf.DUMMYFUNCTION("""COMPUTED_VALUE"""),"28/09/2025 10:00")</f>
        <v>28/09/2025 10:00</v>
      </c>
      <c r="L193" s="278" t="str">
        <f ca="1">IFERROR(__xludf.DUMMYFUNCTION("""COMPUTED_VALUE"""),"28/09/2025 12:00")</f>
        <v>28/09/2025 12:00</v>
      </c>
      <c r="M193" s="278" t="str">
        <f ca="1">IFERROR(__xludf.DUMMYFUNCTION("""COMPUTED_VALUE"""),"29/09/2025 MORNING")</f>
        <v>29/09/2025 MORNING</v>
      </c>
    </row>
    <row r="194" spans="1:13" ht="18.75" hidden="1">
      <c r="A194" s="278" t="str">
        <f ca="1">IFERROR(__xludf.DUMMYFUNCTION("""COMPUTED_VALUE"""),"JTX")</f>
        <v>JTX</v>
      </c>
      <c r="B194" s="278" t="str">
        <f ca="1">IFERROR(__xludf.DUMMYFUNCTION("""COMPUTED_VALUE"""),"HAIAN EAST V.0QILSN")</f>
        <v>HAIAN EAST V.0QILSN</v>
      </c>
      <c r="C194" s="279" t="str">
        <f ca="1">IFERROR(__xludf.DUMMYFUNCTION("""COMPUTED_VALUE"""),"THLCB")</f>
        <v>THLCB</v>
      </c>
      <c r="D194" s="278" t="str">
        <f ca="1">IFERROR(__xludf.DUMMYFUNCTION("""COMPUTED_VALUE"""),"26/09/2025 22:00")</f>
        <v>26/09/2025 22:00</v>
      </c>
      <c r="E194" s="278" t="str">
        <f ca="1">IFERROR(__xludf.DUMMYFUNCTION("""COMPUTED_VALUE"""),"32.1 19/09/2025")</f>
        <v>32.1 19/09/2025</v>
      </c>
      <c r="F194" s="278" t="str">
        <f ca="1">IFERROR(__xludf.DUMMYFUNCTION("""COMPUTED_VALUE"""),"23/09/2025 15:00")</f>
        <v>23/09/2025 15:00</v>
      </c>
      <c r="G194" s="278" t="str">
        <f ca="1">IFERROR(__xludf.DUMMYFUNCTION("""COMPUTED_VALUE"""),"24/09/2025 15:00")</f>
        <v>24/09/2025 15:00</v>
      </c>
      <c r="H194" s="278" t="str">
        <f ca="1">IFERROR(__xludf.DUMMYFUNCTION("""COMPUTED_VALUE"""),"24/09/2025 15:00")</f>
        <v>24/09/2025 15:00</v>
      </c>
      <c r="I194" s="280" t="str">
        <f ca="1">IFERROR(__xludf.DUMMYFUNCTION("""COMPUTED_VALUE"""),"25/09/2025 15:00")</f>
        <v>25/09/2025 15:00</v>
      </c>
      <c r="J194" s="280" t="str">
        <f ca="1">IFERROR(__xludf.DUMMYFUNCTION("""COMPUTED_VALUE"""),"26/09/2025 16:00")</f>
        <v>26/09/2025 16:00</v>
      </c>
      <c r="K194" s="280" t="str">
        <f ca="1">IFERROR(__xludf.DUMMYFUNCTION("""COMPUTED_VALUE"""),"28/09/2025 14:00")</f>
        <v>28/09/2025 14:00</v>
      </c>
      <c r="L194" s="278" t="str">
        <f ca="1">IFERROR(__xludf.DUMMYFUNCTION("""COMPUTED_VALUE"""),"28/09/2025 23:54")</f>
        <v>28/09/2025 23:54</v>
      </c>
      <c r="M194" s="278" t="str">
        <f ca="1">IFERROR(__xludf.DUMMYFUNCTION("""COMPUTED_VALUE"""),"29/09/2025 MORNING")</f>
        <v>29/09/2025 MORNING</v>
      </c>
    </row>
    <row r="195" spans="1:13" ht="18.75" hidden="1">
      <c r="A195" s="278"/>
      <c r="B195" s="278" t="str">
        <f ca="1">IFERROR(__xludf.DUMMYFUNCTION("""COMPUTED_VALUE"""),"WEEK 38/2025")</f>
        <v>WEEK 38/2025</v>
      </c>
      <c r="C195" s="279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195" s="278"/>
      <c r="E195" s="278"/>
      <c r="F195" s="278"/>
      <c r="G195" s="278"/>
      <c r="H195" s="278"/>
      <c r="I195" s="280"/>
      <c r="J195" s="280"/>
      <c r="K195" s="280"/>
      <c r="L195" s="278"/>
      <c r="M195" s="278"/>
    </row>
    <row r="196" spans="1:13" ht="18.75" hidden="1">
      <c r="A196" s="278"/>
      <c r="B196" s="278"/>
      <c r="C196" s="279"/>
      <c r="D196" s="278"/>
      <c r="E196" s="278"/>
      <c r="F196" s="278"/>
      <c r="G196" s="278"/>
      <c r="H196" s="278"/>
      <c r="I196" s="280"/>
      <c r="J196" s="280"/>
      <c r="K196" s="280"/>
      <c r="L196" s="278"/>
      <c r="M196" s="278"/>
    </row>
    <row r="197" spans="1:13" ht="18.75" hidden="1">
      <c r="A197" s="278" t="str">
        <f ca="1">IFERROR(__xludf.DUMMYFUNCTION("""COMPUTED_VALUE"""),"SERVICE")</f>
        <v>SERVICE</v>
      </c>
      <c r="B197" s="278" t="str">
        <f ca="1">IFERROR(__xludf.DUMMYFUNCTION("""COMPUTED_VALUE"""),"VESSEL NAME")</f>
        <v>VESSEL NAME</v>
      </c>
      <c r="C197" s="279" t="str">
        <f ca="1">IFERROR(__xludf.DUMMYFUNCTION("""COMPUTED_VALUE"""),"PORT")</f>
        <v>PORT</v>
      </c>
      <c r="D197" s="278" t="str">
        <f ca="1">IFERROR(__xludf.DUMMYFUNCTION("""COMPUTED_VALUE"""),"PERFOMA ETD")</f>
        <v>PERFOMA ETD</v>
      </c>
      <c r="E197" s="278" t="str">
        <f ca="1">IFERROR(__xludf.DUMMYFUNCTION("""COMPUTED_VALUE"""),"EX.RATE/DATE/")</f>
        <v>EX.RATE/DATE/</v>
      </c>
      <c r="F197" s="278" t="str">
        <f ca="1">IFERROR(__xludf.DUMMYFUNCTION("""COMPUTED_VALUE"""),"SI CUT OFF USA,MX")</f>
        <v>SI CUT OFF USA,MX</v>
      </c>
      <c r="G197" s="278" t="str">
        <f ca="1">IFERROR(__xludf.DUMMYFUNCTION("""COMPUTED_VALUE"""),"SI CUT OFF")</f>
        <v>SI CUT OFF</v>
      </c>
      <c r="H197" s="278" t="str">
        <f ca="1">IFERROR(__xludf.DUMMYFUNCTION("""COMPUTED_VALUE"""),"B/L CFM USA,MX")</f>
        <v>B/L CFM USA,MX</v>
      </c>
      <c r="I197" s="280" t="str">
        <f ca="1">IFERROR(__xludf.DUMMYFUNCTION("""COMPUTED_VALUE"""),"B/L CFM CHINA,JP,VN")</f>
        <v>B/L CFM CHINA,JP,VN</v>
      </c>
      <c r="J197" s="280" t="str">
        <f ca="1">IFERROR(__xludf.DUMMYFUNCTION("""COMPUTED_VALUE"""),"B/L CONFIRM")</f>
        <v>B/L CONFIRM</v>
      </c>
      <c r="K197" s="280" t="str">
        <f ca="1">IFERROR(__xludf.DUMMYFUNCTION("""COMPUTED_VALUE"""),"ETD")</f>
        <v>ETD</v>
      </c>
      <c r="L197" s="278" t="str">
        <f ca="1">IFERROR(__xludf.DUMMYFUNCTION("""COMPUTED_VALUE"""),"ATD")</f>
        <v>ATD</v>
      </c>
      <c r="M197" s="278" t="str">
        <f ca="1">IFERROR(__xludf.DUMMYFUNCTION("""COMPUTED_VALUE"""),"B/L ISSUED DATE")</f>
        <v>B/L ISSUED DATE</v>
      </c>
    </row>
    <row r="198" spans="1:13" ht="18.75" hidden="1">
      <c r="A198" s="278"/>
      <c r="B198" s="278"/>
      <c r="C198" s="279"/>
      <c r="D198" s="278"/>
      <c r="E198" s="278" t="str">
        <f ca="1">IFERROR(__xludf.DUMMYFUNCTION("""COMPUTED_VALUE"""),"BANGKOK BANK")</f>
        <v>BANGKOK BANK</v>
      </c>
      <c r="F198" s="278" t="str">
        <f ca="1">IFERROR(__xludf.DUMMYFUNCTION("""COMPUTED_VALUE"""),"4 days before ETD")</f>
        <v>4 days before ETD</v>
      </c>
      <c r="G198" s="278"/>
      <c r="H198" s="278" t="str">
        <f ca="1">IFERROR(__xludf.DUMMYFUNCTION("""COMPUTED_VALUE"""),"3 days before ETD")</f>
        <v>3 days before ETD</v>
      </c>
      <c r="I198" s="280" t="str">
        <f ca="1">IFERROR(__xludf.DUMMYFUNCTION("""COMPUTED_VALUE"""),"Direct port CUT OFF")</f>
        <v>Direct port CUT OFF</v>
      </c>
      <c r="J198" s="280" t="str">
        <f ca="1">IFERROR(__xludf.DUMMYFUNCTION("""COMPUTED_VALUE"""),"Orther port CUT OFF")</f>
        <v>Orther port CUT OFF</v>
      </c>
      <c r="K198" s="280" t="str">
        <f ca="1">IFERROR(__xludf.DUMMYFUNCTION("""COMPUTED_VALUE"""),"ON BOARD DATE")</f>
        <v>ON BOARD DATE</v>
      </c>
      <c r="L198" s="278" t="str">
        <f ca="1">IFERROR(__xludf.DUMMYFUNCTION("""COMPUTED_VALUE"""),"วันเรือออกจริง")</f>
        <v>วันเรือออกจริง</v>
      </c>
      <c r="M198" s="278" t="str">
        <f ca="1">IFERROR(__xludf.DUMMYFUNCTION("""COMPUTED_VALUE"""),"วันปล่อยบีแอล")</f>
        <v>วันปล่อยบีแอล</v>
      </c>
    </row>
    <row r="199" spans="1:13" ht="18.75" hidden="1">
      <c r="A199" s="278"/>
      <c r="B199" s="278"/>
      <c r="C199" s="279"/>
      <c r="D199" s="278"/>
      <c r="E199" s="278"/>
      <c r="F199" s="278"/>
      <c r="G199" s="278" t="str">
        <f ca="1">IFERROR(__xludf.DUMMYFUNCTION("""COMPUTED_VALUE"""),"3 days before ETD")</f>
        <v>3 days before ETD</v>
      </c>
      <c r="H199" s="278"/>
      <c r="I199" s="280" t="str">
        <f ca="1">IFERROR(__xludf.DUMMYFUNCTION("""COMPUTED_VALUE"""),"2 days before ETD")</f>
        <v>2 days before ETD</v>
      </c>
      <c r="J199" s="280" t="str">
        <f ca="1">IFERROR(__xludf.DUMMYFUNCTION("""COMPUTED_VALUE"""),"1 days before ETD")</f>
        <v>1 days before ETD</v>
      </c>
      <c r="K199" s="280" t="str">
        <f ca="1">IFERROR(__xludf.DUMMYFUNCTION("""COMPUTED_VALUE"""),"SHOW ON B/L")</f>
        <v>SHOW ON B/L</v>
      </c>
      <c r="L199" s="278"/>
      <c r="M199" s="278"/>
    </row>
    <row r="200" spans="1:13" ht="18.75" hidden="1">
      <c r="A200" s="278" t="str">
        <f ca="1">IFERROR(__xludf.DUMMYFUNCTION("""COMPUTED_VALUE"""),"JTX")</f>
        <v>JTX</v>
      </c>
      <c r="B200" s="278" t="str">
        <f ca="1">IFERROR(__xludf.DUMMYFUNCTION("""COMPUTED_VALUE"""),"TS NAGOYA V.25014N")</f>
        <v>TS NAGOYA V.25014N</v>
      </c>
      <c r="C200" s="279" t="str">
        <f ca="1">IFERROR(__xludf.DUMMYFUNCTION("""COMPUTED_VALUE"""),"THLCB")</f>
        <v>THLCB</v>
      </c>
      <c r="D200" s="282">
        <f ca="1">IFERROR(__xludf.DUMMYFUNCTION("""COMPUTED_VALUE"""),46000.9166666666)</f>
        <v>46000.916666666599</v>
      </c>
      <c r="E200" s="278" t="str">
        <f ca="1">IFERROR(__xludf.DUMMYFUNCTION("""COMPUTED_VALUE"""),"32.47 05/09/2025")</f>
        <v>32.47 05/09/2025</v>
      </c>
      <c r="F200" s="282">
        <f ca="1">IFERROR(__xludf.DUMMYFUNCTION("""COMPUTED_VALUE"""),45970.625)</f>
        <v>45970.625</v>
      </c>
      <c r="G200" s="282">
        <f ca="1">IFERROR(__xludf.DUMMYFUNCTION("""COMPUTED_VALUE"""),46000.625)</f>
        <v>46000.625</v>
      </c>
      <c r="H200" s="282">
        <f ca="1">IFERROR(__xludf.DUMMYFUNCTION("""COMPUTED_VALUE"""),46000.625)</f>
        <v>46000.625</v>
      </c>
      <c r="I200" s="280" t="str">
        <f ca="1">IFERROR(__xludf.DUMMYFUNCTION("""COMPUTED_VALUE"""),"13/09/2025 15:00")</f>
        <v>13/09/2025 15:00</v>
      </c>
      <c r="J200" s="280" t="str">
        <f ca="1">IFERROR(__xludf.DUMMYFUNCTION("""COMPUTED_VALUE"""),"14/09/2025 16:00")</f>
        <v>14/09/2025 16:00</v>
      </c>
      <c r="K200" s="280" t="str">
        <f ca="1">IFERROR(__xludf.DUMMYFUNCTION("""COMPUTED_VALUE"""),"15-09-2025 20:00")</f>
        <v>15-09-2025 20:00</v>
      </c>
      <c r="L200" s="278" t="str">
        <f ca="1">IFERROR(__xludf.DUMMYFUNCTION("""COMPUTED_VALUE"""),"15-09-2025 19:00")</f>
        <v>15-09-2025 19:00</v>
      </c>
      <c r="M200" s="278" t="str">
        <f ca="1">IFERROR(__xludf.DUMMYFUNCTION("""COMPUTED_VALUE"""),"16/09/2025 MORNING")</f>
        <v>16/09/2025 MORNING</v>
      </c>
    </row>
    <row r="201" spans="1:13" ht="18.75" hidden="1">
      <c r="A201" s="278" t="str">
        <f ca="1">IFERROR(__xludf.DUMMYFUNCTION("""COMPUTED_VALUE"""),"TRX")</f>
        <v>TRX</v>
      </c>
      <c r="B201" s="278" t="str">
        <f ca="1">IFERROR(__xludf.DUMMYFUNCTION("""COMPUTED_VALUE"""),"TS SURABAYA V.25017N")</f>
        <v>TS SURABAYA V.25017N</v>
      </c>
      <c r="C201" s="279" t="str">
        <f ca="1">IFERROR(__xludf.DUMMYFUNCTION("""COMPUTED_VALUE"""),"THBKK")</f>
        <v>THBKK</v>
      </c>
      <c r="D201" s="278" t="str">
        <f ca="1">IFERROR(__xludf.DUMMYFUNCTION("""COMPUTED_VALUE"""),"16/09/2025 19:30")</f>
        <v>16/09/2025 19:30</v>
      </c>
      <c r="E201" s="278" t="str">
        <f ca="1">IFERROR(__xludf.DUMMYFUNCTION("""COMPUTED_VALUE"""),"32.07 11/09/2025")</f>
        <v>32.07 11/09/2025</v>
      </c>
      <c r="F201" s="278" t="str">
        <f ca="1">IFERROR(__xludf.DUMMYFUNCTION("""COMPUTED_VALUE"""),"16/09/2025 15:00")</f>
        <v>16/09/2025 15:00</v>
      </c>
      <c r="G201" s="278" t="str">
        <f ca="1">IFERROR(__xludf.DUMMYFUNCTION("""COMPUTED_VALUE"""),"17/09/2025 15:00")</f>
        <v>17/09/2025 15:00</v>
      </c>
      <c r="H201" s="278" t="str">
        <f ca="1">IFERROR(__xludf.DUMMYFUNCTION("""COMPUTED_VALUE"""),"17/09/2025 15:00")</f>
        <v>17/09/2025 15:00</v>
      </c>
      <c r="I201" s="280" t="str">
        <f ca="1">IFERROR(__xludf.DUMMYFUNCTION("""COMPUTED_VALUE"""),"18/09/2025 15:00")</f>
        <v>18/09/2025 15:00</v>
      </c>
      <c r="J201" s="280" t="str">
        <f ca="1">IFERROR(__xludf.DUMMYFUNCTION("""COMPUTED_VALUE"""),"19/09/2025 16:00")</f>
        <v>19/09/2025 16:00</v>
      </c>
      <c r="K201" s="280" t="str">
        <f ca="1">IFERROR(__xludf.DUMMYFUNCTION("""COMPUTED_VALUE"""),"21-09-2025 02:00")</f>
        <v>21-09-2025 02:00</v>
      </c>
      <c r="L201" s="278" t="str">
        <f ca="1">IFERROR(__xludf.DUMMYFUNCTION("""COMPUTED_VALUE"""),"21-09-2025 01:00")</f>
        <v>21-09-2025 01:00</v>
      </c>
      <c r="M201" s="278" t="str">
        <f ca="1">IFERROR(__xludf.DUMMYFUNCTION("""COMPUTED_VALUE"""),"22/09/2025 MORNING")</f>
        <v>22/09/2025 MORNING</v>
      </c>
    </row>
    <row r="202" spans="1:13" ht="18.75" hidden="1">
      <c r="A202" s="278"/>
      <c r="B202" s="278"/>
      <c r="C202" s="279" t="str">
        <f ca="1">IFERROR(__xludf.DUMMYFUNCTION("""COMPUTED_VALUE"""),"THLCB")</f>
        <v>THLCB</v>
      </c>
      <c r="D202" s="278" t="str">
        <f ca="1">IFERROR(__xludf.DUMMYFUNCTION("""COMPUTED_VALUE"""),"18/09/2025 09:00")</f>
        <v>18/09/2025 09:00</v>
      </c>
      <c r="E202" s="278"/>
      <c r="F202" s="278" t="str">
        <f ca="1">IFERROR(__xludf.DUMMYFUNCTION("""COMPUTED_VALUE"""),"16/09/2025 15:00")</f>
        <v>16/09/2025 15:00</v>
      </c>
      <c r="G202" s="278" t="str">
        <f ca="1">IFERROR(__xludf.DUMMYFUNCTION("""COMPUTED_VALUE"""),"17/09/2025 15:00")</f>
        <v>17/09/2025 15:00</v>
      </c>
      <c r="H202" s="278" t="str">
        <f ca="1">IFERROR(__xludf.DUMMYFUNCTION("""COMPUTED_VALUE"""),"17/09/2025 15:00")</f>
        <v>17/09/2025 15:00</v>
      </c>
      <c r="I202" s="280" t="str">
        <f ca="1">IFERROR(__xludf.DUMMYFUNCTION("""COMPUTED_VALUE"""),"18/09/2025 15:00")</f>
        <v>18/09/2025 15:00</v>
      </c>
      <c r="J202" s="280" t="str">
        <f ca="1">IFERROR(__xludf.DUMMYFUNCTION("""COMPUTED_VALUE"""),"19/09/2025 16:00")</f>
        <v>19/09/2025 16:00</v>
      </c>
      <c r="K202" s="280" t="str">
        <f ca="1">IFERROR(__xludf.DUMMYFUNCTION("""COMPUTED_VALUE"""),"21-09-2025 22:00")</f>
        <v>21-09-2025 22:00</v>
      </c>
      <c r="L202" s="278" t="str">
        <f ca="1">IFERROR(__xludf.DUMMYFUNCTION("""COMPUTED_VALUE"""),"21-09-2025 21:00")</f>
        <v>21-09-2025 21:00</v>
      </c>
      <c r="M202" s="278" t="str">
        <f ca="1">IFERROR(__xludf.DUMMYFUNCTION("""COMPUTED_VALUE"""),"22/09/2025 MORNING")</f>
        <v>22/09/2025 MORNING</v>
      </c>
    </row>
    <row r="203" spans="1:13" ht="18.75" hidden="1">
      <c r="A203" s="278" t="str">
        <f ca="1">IFERROR(__xludf.DUMMYFUNCTION("""COMPUTED_VALUE"""),"CVT")</f>
        <v>CVT</v>
      </c>
      <c r="B203" s="278" t="str">
        <f ca="1">IFERROR(__xludf.DUMMYFUNCTION("""COMPUTED_VALUE"""),"AVIOS V.2513N")</f>
        <v>AVIOS V.2513N</v>
      </c>
      <c r="C203" s="279" t="str">
        <f ca="1">IFERROR(__xludf.DUMMYFUNCTION("""COMPUTED_VALUE"""),"THBKK")</f>
        <v>THBKK</v>
      </c>
      <c r="D203" s="282">
        <f ca="1">IFERROR(__xludf.DUMMYFUNCTION("""COMPUTED_VALUE"""),45970.3333333333)</f>
        <v>45970.333333333299</v>
      </c>
      <c r="E203" s="278" t="str">
        <f ca="1">IFERROR(__xludf.DUMMYFUNCTION("""COMPUTED_VALUE"""),"32.05 10/09/2025")</f>
        <v>32.05 10/09/2025</v>
      </c>
      <c r="F203" s="278" t="str">
        <f ca="1">IFERROR(__xludf.DUMMYFUNCTION("""COMPUTED_VALUE"""),"15/09/2025 15:00")</f>
        <v>15/09/2025 15:00</v>
      </c>
      <c r="G203" s="278" t="str">
        <f ca="1">IFERROR(__xludf.DUMMYFUNCTION("""COMPUTED_VALUE"""),"16/09/2025 15:00")</f>
        <v>16/09/2025 15:00</v>
      </c>
      <c r="H203" s="278" t="str">
        <f ca="1">IFERROR(__xludf.DUMMYFUNCTION("""COMPUTED_VALUE"""),"16/09/2025 15:00")</f>
        <v>16/09/2025 15:00</v>
      </c>
      <c r="I203" s="280" t="str">
        <f ca="1">IFERROR(__xludf.DUMMYFUNCTION("""COMPUTED_VALUE"""),"17/09/2025 15:00")</f>
        <v>17/09/2025 15:00</v>
      </c>
      <c r="J203" s="280" t="str">
        <f ca="1">IFERROR(__xludf.DUMMYFUNCTION("""COMPUTED_VALUE"""),"18/09/2025 16:00")</f>
        <v>18/09/2025 16:00</v>
      </c>
      <c r="K203" s="280" t="str">
        <f ca="1">IFERROR(__xludf.DUMMYFUNCTION("""COMPUTED_VALUE"""),"19-09-2025 13:00")</f>
        <v>19-09-2025 13:00</v>
      </c>
      <c r="L203" s="278" t="str">
        <f ca="1">IFERROR(__xludf.DUMMYFUNCTION("""COMPUTED_VALUE"""),"19-09-2025 13:00")</f>
        <v>19-09-2025 13:00</v>
      </c>
      <c r="M203" s="278" t="str">
        <f ca="1">IFERROR(__xludf.DUMMYFUNCTION("""COMPUTED_VALUE"""),"22/09/2025 MORNING")</f>
        <v>22/09/2025 MORNING</v>
      </c>
    </row>
    <row r="204" spans="1:13" ht="18.75" hidden="1">
      <c r="A204" s="278"/>
      <c r="B204" s="278"/>
      <c r="C204" s="279" t="str">
        <f ca="1">IFERROR(__xludf.DUMMYFUNCTION("""COMPUTED_VALUE"""),"THLCB")</f>
        <v>THLCB</v>
      </c>
      <c r="D204" s="282">
        <f ca="1">IFERROR(__xludf.DUMMYFUNCTION("""COMPUTED_VALUE"""),46000.1666666666)</f>
        <v>46000.166666666599</v>
      </c>
      <c r="E204" s="278"/>
      <c r="F204" s="278" t="str">
        <f ca="1">IFERROR(__xludf.DUMMYFUNCTION("""COMPUTED_VALUE"""),"16/09/2025 15:00")</f>
        <v>16/09/2025 15:00</v>
      </c>
      <c r="G204" s="278" t="str">
        <f ca="1">IFERROR(__xludf.DUMMYFUNCTION("""COMPUTED_VALUE"""),"17/09/2025 15:00")</f>
        <v>17/09/2025 15:00</v>
      </c>
      <c r="H204" s="278" t="str">
        <f ca="1">IFERROR(__xludf.DUMMYFUNCTION("""COMPUTED_VALUE"""),"17/09/2025 15:00")</f>
        <v>17/09/2025 15:00</v>
      </c>
      <c r="I204" s="280" t="str">
        <f ca="1">IFERROR(__xludf.DUMMYFUNCTION("""COMPUTED_VALUE"""),"18/09/2025 15:00")</f>
        <v>18/09/2025 15:00</v>
      </c>
      <c r="J204" s="280" t="str">
        <f ca="1">IFERROR(__xludf.DUMMYFUNCTION("""COMPUTED_VALUE"""),"19/09/2025 16:00")</f>
        <v>19/09/2025 16:00</v>
      </c>
      <c r="K204" s="280" t="str">
        <f ca="1">IFERROR(__xludf.DUMMYFUNCTION("""COMPUTED_VALUE"""),"20-09-2025 16:00")</f>
        <v>20-09-2025 16:00</v>
      </c>
      <c r="L204" s="278" t="str">
        <f ca="1">IFERROR(__xludf.DUMMYFUNCTION("""COMPUTED_VALUE"""),"20-09-2025 16:49")</f>
        <v>20-09-2025 16:49</v>
      </c>
      <c r="M204" s="278" t="str">
        <f ca="1">IFERROR(__xludf.DUMMYFUNCTION("""COMPUTED_VALUE"""),"22/09/2025 MORNING")</f>
        <v>22/09/2025 MORNING</v>
      </c>
    </row>
    <row r="205" spans="1:13" ht="18.75" hidden="1">
      <c r="A205" s="278"/>
      <c r="B205" s="278"/>
      <c r="C205" s="279"/>
      <c r="D205" s="278"/>
      <c r="E205" s="278"/>
      <c r="F205" s="278"/>
      <c r="G205" s="278"/>
      <c r="H205" s="278"/>
      <c r="I205" s="280"/>
      <c r="J205" s="280"/>
      <c r="K205" s="280"/>
      <c r="L205" s="278"/>
      <c r="M205" s="278"/>
    </row>
    <row r="206" spans="1:13" ht="18.75" hidden="1">
      <c r="A206" s="278"/>
      <c r="B206" s="278" t="str">
        <f ca="1">IFERROR(__xludf.DUMMYFUNCTION("""COMPUTED_VALUE"""),"WEEK 37/2025")</f>
        <v>WEEK 37/2025</v>
      </c>
      <c r="C206" s="279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206" s="278"/>
      <c r="E206" s="278"/>
      <c r="F206" s="278"/>
      <c r="G206" s="278"/>
      <c r="H206" s="278"/>
      <c r="I206" s="280"/>
      <c r="J206" s="280"/>
      <c r="K206" s="280"/>
      <c r="L206" s="278"/>
      <c r="M206" s="278"/>
    </row>
    <row r="207" spans="1:13" ht="18.75" hidden="1">
      <c r="A207" s="278"/>
      <c r="B207" s="278"/>
      <c r="C207" s="279"/>
      <c r="D207" s="278"/>
      <c r="E207" s="278"/>
      <c r="F207" s="278"/>
      <c r="G207" s="278"/>
      <c r="H207" s="278"/>
      <c r="I207" s="280"/>
      <c r="J207" s="280"/>
      <c r="K207" s="280"/>
      <c r="L207" s="278"/>
      <c r="M207" s="278"/>
    </row>
    <row r="208" spans="1:13" ht="18.75" hidden="1">
      <c r="A208" s="278" t="str">
        <f ca="1">IFERROR(__xludf.DUMMYFUNCTION("""COMPUTED_VALUE"""),"SERVICE")</f>
        <v>SERVICE</v>
      </c>
      <c r="B208" s="278" t="str">
        <f ca="1">IFERROR(__xludf.DUMMYFUNCTION("""COMPUTED_VALUE"""),"VESSEL NAME")</f>
        <v>VESSEL NAME</v>
      </c>
      <c r="C208" s="279" t="str">
        <f ca="1">IFERROR(__xludf.DUMMYFUNCTION("""COMPUTED_VALUE"""),"PORT")</f>
        <v>PORT</v>
      </c>
      <c r="D208" s="278" t="str">
        <f ca="1">IFERROR(__xludf.DUMMYFUNCTION("""COMPUTED_VALUE"""),"PERFOMA ETD")</f>
        <v>PERFOMA ETD</v>
      </c>
      <c r="E208" s="278" t="str">
        <f ca="1">IFERROR(__xludf.DUMMYFUNCTION("""COMPUTED_VALUE"""),"EX.RATE/DATE/")</f>
        <v>EX.RATE/DATE/</v>
      </c>
      <c r="F208" s="278" t="str">
        <f ca="1">IFERROR(__xludf.DUMMYFUNCTION("""COMPUTED_VALUE"""),"SI CUT OFF USA,MX")</f>
        <v>SI CUT OFF USA,MX</v>
      </c>
      <c r="G208" s="278" t="str">
        <f ca="1">IFERROR(__xludf.DUMMYFUNCTION("""COMPUTED_VALUE"""),"SI CUT OFF")</f>
        <v>SI CUT OFF</v>
      </c>
      <c r="H208" s="278" t="str">
        <f ca="1">IFERROR(__xludf.DUMMYFUNCTION("""COMPUTED_VALUE"""),"B/L CFM USA,MX")</f>
        <v>B/L CFM USA,MX</v>
      </c>
      <c r="I208" s="280" t="str">
        <f ca="1">IFERROR(__xludf.DUMMYFUNCTION("""COMPUTED_VALUE"""),"B/L CFM CHINA,JP,VN")</f>
        <v>B/L CFM CHINA,JP,VN</v>
      </c>
      <c r="J208" s="280" t="str">
        <f ca="1">IFERROR(__xludf.DUMMYFUNCTION("""COMPUTED_VALUE"""),"B/L CONFIRM")</f>
        <v>B/L CONFIRM</v>
      </c>
      <c r="K208" s="280" t="str">
        <f ca="1">IFERROR(__xludf.DUMMYFUNCTION("""COMPUTED_VALUE"""),"ETD")</f>
        <v>ETD</v>
      </c>
      <c r="L208" s="278" t="str">
        <f ca="1">IFERROR(__xludf.DUMMYFUNCTION("""COMPUTED_VALUE"""),"ATD")</f>
        <v>ATD</v>
      </c>
      <c r="M208" s="278" t="str">
        <f ca="1">IFERROR(__xludf.DUMMYFUNCTION("""COMPUTED_VALUE"""),"B/L ISSUED DATE")</f>
        <v>B/L ISSUED DATE</v>
      </c>
    </row>
    <row r="209" spans="1:13" ht="18.75" hidden="1">
      <c r="A209" s="278"/>
      <c r="B209" s="278"/>
      <c r="C209" s="279"/>
      <c r="D209" s="278"/>
      <c r="E209" s="278" t="str">
        <f ca="1">IFERROR(__xludf.DUMMYFUNCTION("""COMPUTED_VALUE"""),"BANGKOK BANK")</f>
        <v>BANGKOK BANK</v>
      </c>
      <c r="F209" s="278" t="str">
        <f ca="1">IFERROR(__xludf.DUMMYFUNCTION("""COMPUTED_VALUE"""),"4 days before ETD")</f>
        <v>4 days before ETD</v>
      </c>
      <c r="G209" s="278"/>
      <c r="H209" s="278" t="str">
        <f ca="1">IFERROR(__xludf.DUMMYFUNCTION("""COMPUTED_VALUE"""),"3 days before ETD")</f>
        <v>3 days before ETD</v>
      </c>
      <c r="I209" s="280" t="str">
        <f ca="1">IFERROR(__xludf.DUMMYFUNCTION("""COMPUTED_VALUE"""),"Direct port CUT OFF")</f>
        <v>Direct port CUT OFF</v>
      </c>
      <c r="J209" s="280" t="str">
        <f ca="1">IFERROR(__xludf.DUMMYFUNCTION("""COMPUTED_VALUE"""),"Orther port CUT OFF")</f>
        <v>Orther port CUT OFF</v>
      </c>
      <c r="K209" s="280" t="str">
        <f ca="1">IFERROR(__xludf.DUMMYFUNCTION("""COMPUTED_VALUE"""),"ON BOARD DATE")</f>
        <v>ON BOARD DATE</v>
      </c>
      <c r="L209" s="278" t="str">
        <f ca="1">IFERROR(__xludf.DUMMYFUNCTION("""COMPUTED_VALUE"""),"วันเรือออกจริง")</f>
        <v>วันเรือออกจริง</v>
      </c>
      <c r="M209" s="278" t="str">
        <f ca="1">IFERROR(__xludf.DUMMYFUNCTION("""COMPUTED_VALUE"""),"วันปล่อยบีแอล")</f>
        <v>วันปล่อยบีแอล</v>
      </c>
    </row>
    <row r="210" spans="1:13" ht="18.75" hidden="1">
      <c r="A210" s="278"/>
      <c r="B210" s="278"/>
      <c r="C210" s="279"/>
      <c r="D210" s="278"/>
      <c r="E210" s="278"/>
      <c r="F210" s="278"/>
      <c r="G210" s="278" t="str">
        <f ca="1">IFERROR(__xludf.DUMMYFUNCTION("""COMPUTED_VALUE"""),"3 days before ETD")</f>
        <v>3 days before ETD</v>
      </c>
      <c r="H210" s="278"/>
      <c r="I210" s="280" t="str">
        <f ca="1">IFERROR(__xludf.DUMMYFUNCTION("""COMPUTED_VALUE"""),"2 days before ETD")</f>
        <v>2 days before ETD</v>
      </c>
      <c r="J210" s="280" t="str">
        <f ca="1">IFERROR(__xludf.DUMMYFUNCTION("""COMPUTED_VALUE"""),"1 days before ETD")</f>
        <v>1 days before ETD</v>
      </c>
      <c r="K210" s="280" t="str">
        <f ca="1">IFERROR(__xludf.DUMMYFUNCTION("""COMPUTED_VALUE"""),"SHOW ON B/L")</f>
        <v>SHOW ON B/L</v>
      </c>
      <c r="L210" s="278"/>
      <c r="M210" s="278"/>
    </row>
    <row r="211" spans="1:13" ht="18.75" hidden="1">
      <c r="A211" s="278" t="str">
        <f ca="1">IFERROR(__xludf.DUMMYFUNCTION("""COMPUTED_VALUE"""),"CHT")</f>
        <v>CHT</v>
      </c>
      <c r="B211" s="278" t="str">
        <f ca="1">IFERROR(__xludf.DUMMYFUNCTION("""COMPUTED_VALUE"""),"KMTC TAIPEIS V.2510N")</f>
        <v>KMTC TAIPEIS V.2510N</v>
      </c>
      <c r="C211" s="279" t="str">
        <f ca="1">IFERROR(__xludf.DUMMYFUNCTION("""COMPUTED_VALUE"""),"THBKK")</f>
        <v>THBKK</v>
      </c>
      <c r="D211" s="282">
        <f ca="1">IFERROR(__xludf.DUMMYFUNCTION("""COMPUTED_VALUE"""),45725.3333333333)</f>
        <v>45725.333333333299</v>
      </c>
      <c r="E211" s="278" t="str">
        <f ca="1">IFERROR(__xludf.DUMMYFUNCTION("""COMPUTED_VALUE"""),"32.59 29/08/2025")</f>
        <v>32.59 29/08/2025</v>
      </c>
      <c r="F211" s="282">
        <f ca="1">IFERROR(__xludf.DUMMYFUNCTION("""COMPUTED_VALUE"""),45817.625)</f>
        <v>45817.625</v>
      </c>
      <c r="G211" s="282">
        <f ca="1">IFERROR(__xludf.DUMMYFUNCTION("""COMPUTED_VALUE"""),45847.625)</f>
        <v>45847.625</v>
      </c>
      <c r="H211" s="282">
        <f ca="1">IFERROR(__xludf.DUMMYFUNCTION("""COMPUTED_VALUE"""),45847.625)</f>
        <v>45847.625</v>
      </c>
      <c r="I211" s="283">
        <f ca="1">IFERROR(__xludf.DUMMYFUNCTION("""COMPUTED_VALUE"""),45878.625)</f>
        <v>45878.625</v>
      </c>
      <c r="J211" s="284">
        <f ca="1">IFERROR(__xludf.DUMMYFUNCTION("""COMPUTED_VALUE"""),45909.6666666666)</f>
        <v>45909.666666666599</v>
      </c>
      <c r="K211" s="284">
        <f ca="1">IFERROR(__xludf.DUMMYFUNCTION("""COMPUTED_VALUE"""),45939.6666666666)</f>
        <v>45939.666666666599</v>
      </c>
      <c r="L211" s="282">
        <f ca="1">IFERROR(__xludf.DUMMYFUNCTION("""COMPUTED_VALUE"""),45939.6666666666)</f>
        <v>45939.666666666599</v>
      </c>
      <c r="M211" s="278" t="str">
        <f ca="1">IFERROR(__xludf.DUMMYFUNCTION("""COMPUTED_VALUE"""),"11/09/2025 MORNING")</f>
        <v>11/09/2025 MORNING</v>
      </c>
    </row>
    <row r="212" spans="1:13" ht="18.75" hidden="1">
      <c r="A212" s="278"/>
      <c r="B212" s="278"/>
      <c r="C212" s="279" t="str">
        <f ca="1">IFERROR(__xludf.DUMMYFUNCTION("""COMPUTED_VALUE"""),"THLCB")</f>
        <v>THLCB</v>
      </c>
      <c r="D212" s="282">
        <f ca="1">IFERROR(__xludf.DUMMYFUNCTION("""COMPUTED_VALUE"""),45756.1666666666)</f>
        <v>45756.166666666599</v>
      </c>
      <c r="E212" s="278"/>
      <c r="F212" s="282">
        <f ca="1">IFERROR(__xludf.DUMMYFUNCTION("""COMPUTED_VALUE"""),45847.625)</f>
        <v>45847.625</v>
      </c>
      <c r="G212" s="282">
        <f ca="1">IFERROR(__xludf.DUMMYFUNCTION("""COMPUTED_VALUE"""),45878.625)</f>
        <v>45878.625</v>
      </c>
      <c r="H212" s="282">
        <f ca="1">IFERROR(__xludf.DUMMYFUNCTION("""COMPUTED_VALUE"""),45878.625)</f>
        <v>45878.625</v>
      </c>
      <c r="I212" s="283">
        <f ca="1">IFERROR(__xludf.DUMMYFUNCTION("""COMPUTED_VALUE"""),45909.625)</f>
        <v>45909.625</v>
      </c>
      <c r="J212" s="284">
        <f ca="1">IFERROR(__xludf.DUMMYFUNCTION("""COMPUTED_VALUE"""),45939.6666666666)</f>
        <v>45939.666666666599</v>
      </c>
      <c r="K212" s="284">
        <f ca="1">IFERROR(__xludf.DUMMYFUNCTION("""COMPUTED_VALUE"""),45970.4166666666)</f>
        <v>45970.416666666599</v>
      </c>
      <c r="L212" s="282">
        <f ca="1">IFERROR(__xludf.DUMMYFUNCTION("""COMPUTED_VALUE"""),45970.4979166666)</f>
        <v>45970.497916666602</v>
      </c>
      <c r="M212" s="278" t="str">
        <f ca="1">IFERROR(__xludf.DUMMYFUNCTION("""COMPUTED_VALUE"""),"11/09/2025 NOON")</f>
        <v>11/09/2025 NOON</v>
      </c>
    </row>
    <row r="213" spans="1:13" ht="18.75" hidden="1">
      <c r="A213" s="278"/>
      <c r="B213" s="278"/>
      <c r="C213" s="279"/>
      <c r="D213" s="278"/>
      <c r="E213" s="278"/>
      <c r="F213" s="278"/>
      <c r="G213" s="278"/>
      <c r="H213" s="278"/>
      <c r="I213" s="280"/>
      <c r="J213" s="280"/>
      <c r="K213" s="280"/>
      <c r="L213" s="278"/>
      <c r="M213" s="278"/>
    </row>
    <row r="214" spans="1:13" ht="18.75" hidden="1">
      <c r="A214" s="278"/>
      <c r="B214" s="278" t="str">
        <f ca="1">IFERROR(__xludf.DUMMYFUNCTION("""COMPUTED_VALUE"""),"WEEK 36/2025")</f>
        <v>WEEK 36/2025</v>
      </c>
      <c r="C214" s="279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214" s="278"/>
      <c r="E214" s="278"/>
      <c r="F214" s="278"/>
      <c r="G214" s="278"/>
      <c r="H214" s="278"/>
      <c r="I214" s="280"/>
      <c r="J214" s="280"/>
      <c r="K214" s="280"/>
      <c r="L214" s="278"/>
      <c r="M214" s="278"/>
    </row>
    <row r="215" spans="1:13" ht="18.75" hidden="1">
      <c r="A215" s="278"/>
      <c r="B215" s="278"/>
      <c r="C215" s="279"/>
      <c r="D215" s="278"/>
      <c r="E215" s="278"/>
      <c r="F215" s="278"/>
      <c r="G215" s="278"/>
      <c r="H215" s="278"/>
      <c r="I215" s="280"/>
      <c r="J215" s="280"/>
      <c r="K215" s="280"/>
      <c r="L215" s="278"/>
      <c r="M215" s="278"/>
    </row>
    <row r="216" spans="1:13" ht="18.75" hidden="1">
      <c r="A216" s="278" t="str">
        <f ca="1">IFERROR(__xludf.DUMMYFUNCTION("""COMPUTED_VALUE"""),"SERVICE")</f>
        <v>SERVICE</v>
      </c>
      <c r="B216" s="278" t="str">
        <f ca="1">IFERROR(__xludf.DUMMYFUNCTION("""COMPUTED_VALUE"""),"VESSEL NAME")</f>
        <v>VESSEL NAME</v>
      </c>
      <c r="C216" s="279" t="str">
        <f ca="1">IFERROR(__xludf.DUMMYFUNCTION("""COMPUTED_VALUE"""),"PORT")</f>
        <v>PORT</v>
      </c>
      <c r="D216" s="278" t="str">
        <f ca="1">IFERROR(__xludf.DUMMYFUNCTION("""COMPUTED_VALUE"""),"PERFOMA ETD")</f>
        <v>PERFOMA ETD</v>
      </c>
      <c r="E216" s="278" t="str">
        <f ca="1">IFERROR(__xludf.DUMMYFUNCTION("""COMPUTED_VALUE"""),"EX.RATE/DATE/")</f>
        <v>EX.RATE/DATE/</v>
      </c>
      <c r="F216" s="278" t="str">
        <f ca="1">IFERROR(__xludf.DUMMYFUNCTION("""COMPUTED_VALUE"""),"SI CUT OFF USA,MX")</f>
        <v>SI CUT OFF USA,MX</v>
      </c>
      <c r="G216" s="278" t="str">
        <f ca="1">IFERROR(__xludf.DUMMYFUNCTION("""COMPUTED_VALUE"""),"SI CUT OFF")</f>
        <v>SI CUT OFF</v>
      </c>
      <c r="H216" s="278" t="str">
        <f ca="1">IFERROR(__xludf.DUMMYFUNCTION("""COMPUTED_VALUE"""),"B/L CFM USA,MX")</f>
        <v>B/L CFM USA,MX</v>
      </c>
      <c r="I216" s="280" t="str">
        <f ca="1">IFERROR(__xludf.DUMMYFUNCTION("""COMPUTED_VALUE"""),"B/L CFM CHINA,JP,VN")</f>
        <v>B/L CFM CHINA,JP,VN</v>
      </c>
      <c r="J216" s="280" t="str">
        <f ca="1">IFERROR(__xludf.DUMMYFUNCTION("""COMPUTED_VALUE"""),"B/L CONFIRM")</f>
        <v>B/L CONFIRM</v>
      </c>
      <c r="K216" s="280" t="str">
        <f ca="1">IFERROR(__xludf.DUMMYFUNCTION("""COMPUTED_VALUE"""),"ETD")</f>
        <v>ETD</v>
      </c>
      <c r="L216" s="278" t="str">
        <f ca="1">IFERROR(__xludf.DUMMYFUNCTION("""COMPUTED_VALUE"""),"ATD")</f>
        <v>ATD</v>
      </c>
      <c r="M216" s="278" t="str">
        <f ca="1">IFERROR(__xludf.DUMMYFUNCTION("""COMPUTED_VALUE"""),"B/L ISSUED DATE")</f>
        <v>B/L ISSUED DATE</v>
      </c>
    </row>
    <row r="217" spans="1:13" ht="18.75" hidden="1">
      <c r="A217" s="278"/>
      <c r="B217" s="278"/>
      <c r="C217" s="279"/>
      <c r="D217" s="278"/>
      <c r="E217" s="278" t="str">
        <f ca="1">IFERROR(__xludf.DUMMYFUNCTION("""COMPUTED_VALUE"""),"BANGKOK BANK")</f>
        <v>BANGKOK BANK</v>
      </c>
      <c r="F217" s="278" t="str">
        <f ca="1">IFERROR(__xludf.DUMMYFUNCTION("""COMPUTED_VALUE"""),"4 days before ETD")</f>
        <v>4 days before ETD</v>
      </c>
      <c r="G217" s="278"/>
      <c r="H217" s="278" t="str">
        <f ca="1">IFERROR(__xludf.DUMMYFUNCTION("""COMPUTED_VALUE"""),"3 days before ETD")</f>
        <v>3 days before ETD</v>
      </c>
      <c r="I217" s="280" t="str">
        <f ca="1">IFERROR(__xludf.DUMMYFUNCTION("""COMPUTED_VALUE"""),"Direct port CUT OFF")</f>
        <v>Direct port CUT OFF</v>
      </c>
      <c r="J217" s="280" t="str">
        <f ca="1">IFERROR(__xludf.DUMMYFUNCTION("""COMPUTED_VALUE"""),"Orther port CUT OFF")</f>
        <v>Orther port CUT OFF</v>
      </c>
      <c r="K217" s="280" t="str">
        <f ca="1">IFERROR(__xludf.DUMMYFUNCTION("""COMPUTED_VALUE"""),"ON BOARD DATE")</f>
        <v>ON BOARD DATE</v>
      </c>
      <c r="L217" s="278" t="str">
        <f ca="1">IFERROR(__xludf.DUMMYFUNCTION("""COMPUTED_VALUE"""),"วันเรือออกจริง")</f>
        <v>วันเรือออกจริง</v>
      </c>
      <c r="M217" s="278" t="str">
        <f ca="1">IFERROR(__xludf.DUMMYFUNCTION("""COMPUTED_VALUE"""),"วันปล่อยบีแอล")</f>
        <v>วันปล่อยบีแอล</v>
      </c>
    </row>
    <row r="218" spans="1:13" ht="18.75" hidden="1">
      <c r="A218" s="278"/>
      <c r="B218" s="278"/>
      <c r="C218" s="279"/>
      <c r="D218" s="278"/>
      <c r="E218" s="278"/>
      <c r="F218" s="278"/>
      <c r="G218" s="278" t="str">
        <f ca="1">IFERROR(__xludf.DUMMYFUNCTION("""COMPUTED_VALUE"""),"3 days before ETD")</f>
        <v>3 days before ETD</v>
      </c>
      <c r="H218" s="278"/>
      <c r="I218" s="280" t="str">
        <f ca="1">IFERROR(__xludf.DUMMYFUNCTION("""COMPUTED_VALUE"""),"2 days before ETD")</f>
        <v>2 days before ETD</v>
      </c>
      <c r="J218" s="280" t="str">
        <f ca="1">IFERROR(__xludf.DUMMYFUNCTION("""COMPUTED_VALUE"""),"1 days before ETD")</f>
        <v>1 days before ETD</v>
      </c>
      <c r="K218" s="280" t="str">
        <f ca="1">IFERROR(__xludf.DUMMYFUNCTION("""COMPUTED_VALUE"""),"SHOW ON B/L")</f>
        <v>SHOW ON B/L</v>
      </c>
      <c r="L218" s="278"/>
      <c r="M218" s="278"/>
    </row>
    <row r="219" spans="1:13" ht="18.75" hidden="1">
      <c r="A219" s="278" t="str">
        <f ca="1">IFERROR(__xludf.DUMMYFUNCTION("""COMPUTED_VALUE"""),"TRX")</f>
        <v>TRX</v>
      </c>
      <c r="B219" s="278" t="str">
        <f ca="1">IFERROR(__xludf.DUMMYFUNCTION("""COMPUTED_VALUE"""),"MTT SAISUNEE V.071N")</f>
        <v>MTT SAISUNEE V.071N</v>
      </c>
      <c r="C219" s="279" t="str">
        <f ca="1">IFERROR(__xludf.DUMMYFUNCTION("""COMPUTED_VALUE"""),"THBKK")</f>
        <v>THBKK</v>
      </c>
      <c r="D219" s="278" t="str">
        <f ca="1">IFERROR(__xludf.DUMMYFUNCTION("""COMPUTED_VALUE"""),"26/07/2025 19:30")</f>
        <v>26/07/2025 19:30</v>
      </c>
      <c r="E219" s="278" t="str">
        <f ca="1">IFERROR(__xludf.DUMMYFUNCTION("""COMPUTED_VALUE"""),"32.67 26/08/2025")</f>
        <v>32.67 26/08/2025</v>
      </c>
      <c r="F219" s="278" t="str">
        <f ca="1">IFERROR(__xludf.DUMMYFUNCTION("""COMPUTED_VALUE"""),"31/08/2025 15:00")</f>
        <v>31/08/2025 15:00</v>
      </c>
      <c r="G219" s="282">
        <f ca="1">IFERROR(__xludf.DUMMYFUNCTION("""COMPUTED_VALUE"""),45666.625)</f>
        <v>45666.625</v>
      </c>
      <c r="H219" s="282">
        <f ca="1">IFERROR(__xludf.DUMMYFUNCTION("""COMPUTED_VALUE"""),45666.625)</f>
        <v>45666.625</v>
      </c>
      <c r="I219" s="283">
        <f ca="1">IFERROR(__xludf.DUMMYFUNCTION("""COMPUTED_VALUE"""),45697.625)</f>
        <v>45697.625</v>
      </c>
      <c r="J219" s="285">
        <f ca="1">IFERROR(__xludf.DUMMYFUNCTION("""COMPUTED_VALUE"""),45725.6666666666)</f>
        <v>45725.666666666599</v>
      </c>
      <c r="K219" s="285">
        <f ca="1">IFERROR(__xludf.DUMMYFUNCTION("""COMPUTED_VALUE"""),45756.5)</f>
        <v>45756.5</v>
      </c>
      <c r="L219" s="282">
        <f ca="1">IFERROR(__xludf.DUMMYFUNCTION("""COMPUTED_VALUE"""),45756.4791666666)</f>
        <v>45756.479166666599</v>
      </c>
      <c r="M219" s="278" t="str">
        <f ca="1">IFERROR(__xludf.DUMMYFUNCTION("""COMPUTED_VALUE"""),"04/09/2025 NOON")</f>
        <v>04/09/2025 NOON</v>
      </c>
    </row>
    <row r="220" spans="1:13" ht="18.75" hidden="1">
      <c r="A220" s="278"/>
      <c r="B220" s="278"/>
      <c r="C220" s="279" t="str">
        <f ca="1">IFERROR(__xludf.DUMMYFUNCTION("""COMPUTED_VALUE"""),"THLCB")</f>
        <v>THLCB</v>
      </c>
      <c r="D220" s="278" t="str">
        <f ca="1">IFERROR(__xludf.DUMMYFUNCTION("""COMPUTED_VALUE"""),"28/07/2025 09:00")</f>
        <v>28/07/2025 09:00</v>
      </c>
      <c r="E220" s="278"/>
      <c r="F220" s="282">
        <f ca="1">IFERROR(__xludf.DUMMYFUNCTION("""COMPUTED_VALUE"""),45666.625)</f>
        <v>45666.625</v>
      </c>
      <c r="G220" s="282">
        <f ca="1">IFERROR(__xludf.DUMMYFUNCTION("""COMPUTED_VALUE"""),45697.625)</f>
        <v>45697.625</v>
      </c>
      <c r="H220" s="282">
        <f ca="1">IFERROR(__xludf.DUMMYFUNCTION("""COMPUTED_VALUE"""),45697.625)</f>
        <v>45697.625</v>
      </c>
      <c r="I220" s="283">
        <f ca="1">IFERROR(__xludf.DUMMYFUNCTION("""COMPUTED_VALUE"""),45725.625)</f>
        <v>45725.625</v>
      </c>
      <c r="J220" s="285">
        <f ca="1">IFERROR(__xludf.DUMMYFUNCTION("""COMPUTED_VALUE"""),45756.6666666666)</f>
        <v>45756.666666666599</v>
      </c>
      <c r="K220" s="285">
        <f ca="1">IFERROR(__xludf.DUMMYFUNCTION("""COMPUTED_VALUE"""),45786.4166666666)</f>
        <v>45786.416666666599</v>
      </c>
      <c r="L220" s="282">
        <f ca="1">IFERROR(__xludf.DUMMYFUNCTION("""COMPUTED_VALUE"""),45786.25)</f>
        <v>45786.25</v>
      </c>
      <c r="M220" s="278" t="str">
        <f ca="1">IFERROR(__xludf.DUMMYFUNCTION("""COMPUTED_VALUE"""),"05/09/2025 NOON")</f>
        <v>05/09/2025 NOON</v>
      </c>
    </row>
    <row r="221" spans="1:13" ht="18.75" hidden="1">
      <c r="A221" s="278" t="str">
        <f ca="1">IFERROR(__xludf.DUMMYFUNCTION("""COMPUTED_VALUE"""),"TRX")</f>
        <v>TRX</v>
      </c>
      <c r="B221" s="278" t="str">
        <f ca="1">IFERROR(__xludf.DUMMYFUNCTION("""COMPUTED_VALUE"""),"TS SURABAYA V.25016N")</f>
        <v>TS SURABAYA V.25016N</v>
      </c>
      <c r="C221" s="279" t="str">
        <f ca="1">IFERROR(__xludf.DUMMYFUNCTION("""COMPUTED_VALUE"""),"THBKK")</f>
        <v>THBKK</v>
      </c>
      <c r="D221" s="278" t="str">
        <f ca="1">IFERROR(__xludf.DUMMYFUNCTION("""COMPUTED_VALUE"""),"26/07/2025 19:30")</f>
        <v>26/07/2025 19:30</v>
      </c>
      <c r="E221" s="278" t="str">
        <f ca="1">IFERROR(__xludf.DUMMYFUNCTION("""COMPUTED_VALUE"""),"32.7 25/08/2025")</f>
        <v>32.7 25/08/2025</v>
      </c>
      <c r="F221" s="278" t="str">
        <f ca="1">IFERROR(__xludf.DUMMYFUNCTION("""COMPUTED_VALUE"""),"30/08/2025 15:00")</f>
        <v>30/08/2025 15:00</v>
      </c>
      <c r="G221" s="278" t="str">
        <f ca="1">IFERROR(__xludf.DUMMYFUNCTION("""COMPUTED_VALUE"""),"31/08/2025 15:00")</f>
        <v>31/08/2025 15:00</v>
      </c>
      <c r="H221" s="278" t="str">
        <f ca="1">IFERROR(__xludf.DUMMYFUNCTION("""COMPUTED_VALUE"""),"31/08/2025 15:00")</f>
        <v>31/08/2025 15:00</v>
      </c>
      <c r="I221" s="283">
        <f ca="1">IFERROR(__xludf.DUMMYFUNCTION("""COMPUTED_VALUE"""),45666.625)</f>
        <v>45666.625</v>
      </c>
      <c r="J221" s="285">
        <f ca="1">IFERROR(__xludf.DUMMYFUNCTION("""COMPUTED_VALUE"""),45697.6666666666)</f>
        <v>45697.666666666599</v>
      </c>
      <c r="K221" s="285">
        <f ca="1">IFERROR(__xludf.DUMMYFUNCTION("""COMPUTED_VALUE"""),45725.75)</f>
        <v>45725.75</v>
      </c>
      <c r="L221" s="282">
        <f ca="1">IFERROR(__xludf.DUMMYFUNCTION("""COMPUTED_VALUE"""),45725.6666666666)</f>
        <v>45725.666666666599</v>
      </c>
      <c r="M221" s="278" t="str">
        <f ca="1">IFERROR(__xludf.DUMMYFUNCTION("""COMPUTED_VALUE"""),"04/09/2025 MORNING")</f>
        <v>04/09/2025 MORNING</v>
      </c>
    </row>
    <row r="222" spans="1:13" ht="18.75" hidden="1">
      <c r="A222" s="278"/>
      <c r="B222" s="278"/>
      <c r="C222" s="279" t="str">
        <f ca="1">IFERROR(__xludf.DUMMYFUNCTION("""COMPUTED_VALUE"""),"THLCB")</f>
        <v>THLCB</v>
      </c>
      <c r="D222" s="278" t="str">
        <f ca="1">IFERROR(__xludf.DUMMYFUNCTION("""COMPUTED_VALUE"""),"28/07/2025 09:00")</f>
        <v>28/07/2025 09:00</v>
      </c>
      <c r="E222" s="278"/>
      <c r="F222" s="278" t="str">
        <f ca="1">IFERROR(__xludf.DUMMYFUNCTION("""COMPUTED_VALUE"""),"31/08/2025 15:00")</f>
        <v>31/08/2025 15:00</v>
      </c>
      <c r="G222" s="282">
        <f ca="1">IFERROR(__xludf.DUMMYFUNCTION("""COMPUTED_VALUE"""),45666.625)</f>
        <v>45666.625</v>
      </c>
      <c r="H222" s="282">
        <f ca="1">IFERROR(__xludf.DUMMYFUNCTION("""COMPUTED_VALUE"""),45666.625)</f>
        <v>45666.625</v>
      </c>
      <c r="I222" s="283">
        <f ca="1">IFERROR(__xludf.DUMMYFUNCTION("""COMPUTED_VALUE"""),45697.625)</f>
        <v>45697.625</v>
      </c>
      <c r="J222" s="285">
        <f ca="1">IFERROR(__xludf.DUMMYFUNCTION("""COMPUTED_VALUE"""),45725.6666666666)</f>
        <v>45725.666666666599</v>
      </c>
      <c r="K222" s="285">
        <f ca="1">IFERROR(__xludf.DUMMYFUNCTION("""COMPUTED_VALUE"""),45756.5833333333)</f>
        <v>45756.583333333299</v>
      </c>
      <c r="L222" s="282">
        <f ca="1">IFERROR(__xludf.DUMMYFUNCTION("""COMPUTED_VALUE"""),45756.5694444444)</f>
        <v>45756.569444444402</v>
      </c>
      <c r="M222" s="278" t="str">
        <f ca="1">IFERROR(__xludf.DUMMYFUNCTION("""COMPUTED_VALUE"""),"05/09/2025 MORNING")</f>
        <v>05/09/2025 MORNING</v>
      </c>
    </row>
    <row r="223" spans="1:13" ht="18.75" hidden="1">
      <c r="A223" s="278" t="str">
        <f ca="1">IFERROR(__xludf.DUMMYFUNCTION("""COMPUTED_VALUE"""),"CHT")</f>
        <v>CHT</v>
      </c>
      <c r="B223" s="278" t="str">
        <f ca="1">IFERROR(__xludf.DUMMYFUNCTION("""COMPUTED_VALUE"""),"TS TIANJIN V.25009N")</f>
        <v>TS TIANJIN V.25009N</v>
      </c>
      <c r="C223" s="279" t="str">
        <f ca="1">IFERROR(__xludf.DUMMYFUNCTION("""COMPUTED_VALUE"""),"THBKK")</f>
        <v>THBKK</v>
      </c>
      <c r="D223" s="278" t="str">
        <f ca="1">IFERROR(__xludf.DUMMYFUNCTION("""COMPUTED_VALUE"""),"27/08/2025 08:00")</f>
        <v>27/08/2025 08:00</v>
      </c>
      <c r="E223" s="278" t="str">
        <f ca="1">IFERROR(__xludf.DUMMYFUNCTION("""COMPUTED_VALUE"""),"32.61 28/08/2025")</f>
        <v>32.61 28/08/2025</v>
      </c>
      <c r="F223" s="282">
        <f ca="1">IFERROR(__xludf.DUMMYFUNCTION("""COMPUTED_VALUE"""),45697.625)</f>
        <v>45697.625</v>
      </c>
      <c r="G223" s="282">
        <f ca="1">IFERROR(__xludf.DUMMYFUNCTION("""COMPUTED_VALUE"""),45725.625)</f>
        <v>45725.625</v>
      </c>
      <c r="H223" s="282">
        <f ca="1">IFERROR(__xludf.DUMMYFUNCTION("""COMPUTED_VALUE"""),45725.625)</f>
        <v>45725.625</v>
      </c>
      <c r="I223" s="283">
        <f ca="1">IFERROR(__xludf.DUMMYFUNCTION("""COMPUTED_VALUE"""),45756.625)</f>
        <v>45756.625</v>
      </c>
      <c r="J223" s="285">
        <f ca="1">IFERROR(__xludf.DUMMYFUNCTION("""COMPUTED_VALUE"""),45786.6666666666)</f>
        <v>45786.666666666599</v>
      </c>
      <c r="K223" s="285">
        <f ca="1">IFERROR(__xludf.DUMMYFUNCTION("""COMPUTED_VALUE"""),45817.5833333333)</f>
        <v>45817.583333333299</v>
      </c>
      <c r="L223" s="282">
        <f ca="1">IFERROR(__xludf.DUMMYFUNCTION("""COMPUTED_VALUE"""),45817.5833333333)</f>
        <v>45817.583333333299</v>
      </c>
      <c r="M223" s="278" t="str">
        <f ca="1">IFERROR(__xludf.DUMMYFUNCTION("""COMPUTED_VALUE"""),"08/09/2025 MORNING")</f>
        <v>08/09/2025 MORNING</v>
      </c>
    </row>
    <row r="224" spans="1:13" ht="18.75" hidden="1">
      <c r="A224" s="278"/>
      <c r="B224" s="278"/>
      <c r="C224" s="279" t="str">
        <f ca="1">IFERROR(__xludf.DUMMYFUNCTION("""COMPUTED_VALUE"""),"THLCB")</f>
        <v>THLCB</v>
      </c>
      <c r="D224" s="278" t="str">
        <f ca="1">IFERROR(__xludf.DUMMYFUNCTION("""COMPUTED_VALUE"""),"28/08/2025 04:00")</f>
        <v>28/08/2025 04:00</v>
      </c>
      <c r="E224" s="278"/>
      <c r="F224" s="282">
        <f ca="1">IFERROR(__xludf.DUMMYFUNCTION("""COMPUTED_VALUE"""),45725.625)</f>
        <v>45725.625</v>
      </c>
      <c r="G224" s="282">
        <f ca="1">IFERROR(__xludf.DUMMYFUNCTION("""COMPUTED_VALUE"""),45756.625)</f>
        <v>45756.625</v>
      </c>
      <c r="H224" s="282">
        <f ca="1">IFERROR(__xludf.DUMMYFUNCTION("""COMPUTED_VALUE"""),45756.625)</f>
        <v>45756.625</v>
      </c>
      <c r="I224" s="283">
        <f ca="1">IFERROR(__xludf.DUMMYFUNCTION("""COMPUTED_VALUE"""),45786.625)</f>
        <v>45786.625</v>
      </c>
      <c r="J224" s="285">
        <f ca="1">IFERROR(__xludf.DUMMYFUNCTION("""COMPUTED_VALUE"""),45817.6666666666)</f>
        <v>45817.666666666599</v>
      </c>
      <c r="K224" s="285">
        <f ca="1">IFERROR(__xludf.DUMMYFUNCTION("""COMPUTED_VALUE"""),45847.6666666666)</f>
        <v>45847.666666666599</v>
      </c>
      <c r="L224" s="282">
        <f ca="1">IFERROR(__xludf.DUMMYFUNCTION("""COMPUTED_VALUE"""),45847.9958333333)</f>
        <v>45847.995833333298</v>
      </c>
      <c r="M224" s="278" t="str">
        <f ca="1">IFERROR(__xludf.DUMMYFUNCTION("""COMPUTED_VALUE"""),"08/09/2025 NOON")</f>
        <v>08/09/2025 NOON</v>
      </c>
    </row>
    <row r="225" spans="1:13" ht="18.75" hidden="1">
      <c r="A225" s="129" t="str">
        <f ca="1">IFERROR(__xludf.DUMMYFUNCTION("""COMPUTED_VALUE"""),"CVT")</f>
        <v>CVT</v>
      </c>
      <c r="B225" s="129" t="str">
        <f ca="1">IFERROR(__xludf.DUMMYFUNCTION("""COMPUTED_VALUE"""),"TS QINGDAO V.25012N")</f>
        <v>TS QINGDAO V.25012N</v>
      </c>
      <c r="C225" s="132" t="str">
        <f ca="1">IFERROR(__xludf.DUMMYFUNCTION("""COMPUTED_VALUE"""),"THBKK")</f>
        <v>THBKK</v>
      </c>
      <c r="D225" s="238">
        <f ca="1">IFERROR(__xludf.DUMMYFUNCTION("""COMPUTED_VALUE"""),45756.3333333333)</f>
        <v>45756.333333333299</v>
      </c>
      <c r="E225" s="129" t="str">
        <f ca="1">IFERROR(__xludf.DUMMYFUNCTION("""COMPUTED_VALUE"""),"32.61 28/08/2025")</f>
        <v>32.61 28/08/2025</v>
      </c>
      <c r="F225" s="238">
        <f ca="1">IFERROR(__xludf.DUMMYFUNCTION("""COMPUTED_VALUE"""),45666.625)</f>
        <v>45666.625</v>
      </c>
      <c r="G225" s="238">
        <f ca="1">IFERROR(__xludf.DUMMYFUNCTION("""COMPUTED_VALUE"""),45697.625)</f>
        <v>45697.625</v>
      </c>
      <c r="H225" s="238">
        <f ca="1">IFERROR(__xludf.DUMMYFUNCTION("""COMPUTED_VALUE"""),45697.625)</f>
        <v>45697.625</v>
      </c>
      <c r="I225" s="246">
        <f ca="1">IFERROR(__xludf.DUMMYFUNCTION("""COMPUTED_VALUE"""),45725.625)</f>
        <v>45725.625</v>
      </c>
      <c r="J225" s="187">
        <f ca="1">IFERROR(__xludf.DUMMYFUNCTION("""COMPUTED_VALUE"""),45756.6666666666)</f>
        <v>45756.666666666599</v>
      </c>
      <c r="K225" s="187">
        <f ca="1">IFERROR(__xludf.DUMMYFUNCTION("""COMPUTED_VALUE"""),45786.7083333333)</f>
        <v>45786.708333333299</v>
      </c>
      <c r="L225" s="238">
        <f ca="1">IFERROR(__xludf.DUMMYFUNCTION("""COMPUTED_VALUE"""),45786.7083333333)</f>
        <v>45786.708333333299</v>
      </c>
      <c r="M225" s="129" t="str">
        <f ca="1">IFERROR(__xludf.DUMMYFUNCTION("""COMPUTED_VALUE"""),"08/09/2025 MORNING")</f>
        <v>08/09/2025 MORNING</v>
      </c>
    </row>
    <row r="226" spans="1:13" ht="18.75" hidden="1">
      <c r="A226" s="129"/>
      <c r="B226" s="129"/>
      <c r="C226" s="132" t="str">
        <f ca="1">IFERROR(__xludf.DUMMYFUNCTION("""COMPUTED_VALUE"""),"THLCB")</f>
        <v>THLCB</v>
      </c>
      <c r="D226" s="238">
        <f ca="1">IFERROR(__xludf.DUMMYFUNCTION("""COMPUTED_VALUE"""),45786.1666666666)</f>
        <v>45786.166666666599</v>
      </c>
      <c r="E226" s="129"/>
      <c r="F226" s="238">
        <f ca="1">IFERROR(__xludf.DUMMYFUNCTION("""COMPUTED_VALUE"""),45697.625)</f>
        <v>45697.625</v>
      </c>
      <c r="G226" s="238">
        <f ca="1">IFERROR(__xludf.DUMMYFUNCTION("""COMPUTED_VALUE"""),45725.625)</f>
        <v>45725.625</v>
      </c>
      <c r="H226" s="238">
        <f ca="1">IFERROR(__xludf.DUMMYFUNCTION("""COMPUTED_VALUE"""),45725.625)</f>
        <v>45725.625</v>
      </c>
      <c r="I226" s="187">
        <f ca="1">IFERROR(__xludf.DUMMYFUNCTION("""COMPUTED_VALUE"""),45756.625)</f>
        <v>45756.625</v>
      </c>
      <c r="J226" s="187">
        <f ca="1">IFERROR(__xludf.DUMMYFUNCTION("""COMPUTED_VALUE"""),45786.6666666666)</f>
        <v>45786.666666666599</v>
      </c>
      <c r="K226" s="187">
        <f ca="1">IFERROR(__xludf.DUMMYFUNCTION("""COMPUTED_VALUE"""),45817.4583333333)</f>
        <v>45817.458333333299</v>
      </c>
      <c r="L226" s="238">
        <f ca="1">IFERROR(__xludf.DUMMYFUNCTION("""COMPUTED_VALUE"""),45817.6666666666)</f>
        <v>45817.666666666599</v>
      </c>
      <c r="M226" s="129" t="str">
        <f ca="1">IFERROR(__xludf.DUMMYFUNCTION("""COMPUTED_VALUE"""),"08/09/2025 MORNING")</f>
        <v>08/09/2025 MORNING</v>
      </c>
    </row>
    <row r="227" spans="1:13" ht="18.75" hidden="1">
      <c r="A227" s="129" t="str">
        <f ca="1">IFERROR(__xludf.DUMMYFUNCTION("""COMPUTED_VALUE"""),"JTX")</f>
        <v>JTX</v>
      </c>
      <c r="B227" s="129" t="str">
        <f ca="1">IFERROR(__xludf.DUMMYFUNCTION("""COMPUTED_VALUE"""),"CNC JAWA V.0QILMN1NC")</f>
        <v>CNC JAWA V.0QILMN1NC</v>
      </c>
      <c r="C227" s="132" t="str">
        <f ca="1">IFERROR(__xludf.DUMMYFUNCTION("""COMPUTED_VALUE"""),"THLCB")</f>
        <v>THLCB</v>
      </c>
      <c r="D227" s="238">
        <f ca="1">IFERROR(__xludf.DUMMYFUNCTION("""COMPUTED_VALUE"""),45786.9166666666)</f>
        <v>45786.916666666599</v>
      </c>
      <c r="E227" s="129" t="str">
        <f ca="1">IFERROR(__xludf.DUMMYFUNCTION("""COMPUTED_VALUE"""),"32.61 28/08/2025")</f>
        <v>32.61 28/08/2025</v>
      </c>
      <c r="F227" s="238">
        <f ca="1">IFERROR(__xludf.DUMMYFUNCTION("""COMPUTED_VALUE"""),45666.625)</f>
        <v>45666.625</v>
      </c>
      <c r="G227" s="238">
        <f ca="1">IFERROR(__xludf.DUMMYFUNCTION("""COMPUTED_VALUE"""),45697.625)</f>
        <v>45697.625</v>
      </c>
      <c r="H227" s="238">
        <f ca="1">IFERROR(__xludf.DUMMYFUNCTION("""COMPUTED_VALUE"""),45697.625)</f>
        <v>45697.625</v>
      </c>
      <c r="I227" s="187">
        <f ca="1">IFERROR(__xludf.DUMMYFUNCTION("""COMPUTED_VALUE"""),45725.625)</f>
        <v>45725.625</v>
      </c>
      <c r="J227" s="187">
        <f ca="1">IFERROR(__xludf.DUMMYFUNCTION("""COMPUTED_VALUE"""),45756.6666666666)</f>
        <v>45756.666666666599</v>
      </c>
      <c r="K227" s="187">
        <f ca="1">IFERROR(__xludf.DUMMYFUNCTION("""COMPUTED_VALUE"""),45786.6666666666)</f>
        <v>45786.666666666599</v>
      </c>
      <c r="L227" s="238">
        <f ca="1">IFERROR(__xludf.DUMMYFUNCTION("""COMPUTED_VALUE"""),45786.8333333333)</f>
        <v>45786.833333333299</v>
      </c>
      <c r="M227" s="129" t="str">
        <f ca="1">IFERROR(__xludf.DUMMYFUNCTION("""COMPUTED_VALUE"""),"08/09/2025 MORNING")</f>
        <v>08/09/2025 MORNING</v>
      </c>
    </row>
    <row r="228" spans="1:13" ht="18.75" hidden="1">
      <c r="A228" s="278"/>
      <c r="B228" s="278"/>
      <c r="C228" s="279"/>
      <c r="D228" s="278"/>
      <c r="E228" s="278"/>
      <c r="F228" s="278"/>
      <c r="G228" s="278"/>
      <c r="H228" s="278"/>
      <c r="I228" s="280"/>
      <c r="J228" s="280"/>
      <c r="K228" s="280"/>
      <c r="L228" s="278"/>
      <c r="M228" s="278"/>
    </row>
    <row r="229" spans="1:13" ht="18.75" hidden="1">
      <c r="A229" s="278"/>
      <c r="B229" s="278" t="str">
        <f ca="1">IFERROR(__xludf.DUMMYFUNCTION("""COMPUTED_VALUE"""),"WEEK 35/2025")</f>
        <v>WEEK 35/2025</v>
      </c>
      <c r="C229" s="279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229" s="278"/>
      <c r="E229" s="278"/>
      <c r="F229" s="278"/>
      <c r="G229" s="278"/>
      <c r="H229" s="278"/>
      <c r="I229" s="280"/>
      <c r="J229" s="280"/>
      <c r="K229" s="280"/>
      <c r="L229" s="278"/>
      <c r="M229" s="278"/>
    </row>
    <row r="230" spans="1:13" ht="18.75" hidden="1">
      <c r="A230" s="278"/>
      <c r="B230" s="278"/>
      <c r="C230" s="279" t="str">
        <f ca="1">IFERROR(__xludf.DUMMYFUNCTION("""COMPUTED_VALUE"""),"(AUG 2025 shipment) LDOC THB1450/SLC THB300")</f>
        <v>(AUG 2025 shipment) LDOC THB1450/SLC THB300</v>
      </c>
      <c r="D230" s="278"/>
      <c r="E230" s="278"/>
      <c r="F230" s="278"/>
      <c r="G230" s="278"/>
      <c r="H230" s="278"/>
      <c r="I230" s="280"/>
      <c r="J230" s="280"/>
      <c r="K230" s="280"/>
      <c r="L230" s="278"/>
      <c r="M230" s="278"/>
    </row>
    <row r="231" spans="1:13" ht="18.75" hidden="1">
      <c r="A231" s="278" t="str">
        <f ca="1">IFERROR(__xludf.DUMMYFUNCTION("""COMPUTED_VALUE"""),"SERVICE")</f>
        <v>SERVICE</v>
      </c>
      <c r="B231" s="278" t="str">
        <f ca="1">IFERROR(__xludf.DUMMYFUNCTION("""COMPUTED_VALUE"""),"VESSEL NAME")</f>
        <v>VESSEL NAME</v>
      </c>
      <c r="C231" s="279" t="str">
        <f ca="1">IFERROR(__xludf.DUMMYFUNCTION("""COMPUTED_VALUE"""),"PORT")</f>
        <v>PORT</v>
      </c>
      <c r="D231" s="278" t="str">
        <f ca="1">IFERROR(__xludf.DUMMYFUNCTION("""COMPUTED_VALUE"""),"PERFOMA ETD")</f>
        <v>PERFOMA ETD</v>
      </c>
      <c r="E231" s="278" t="str">
        <f ca="1">IFERROR(__xludf.DUMMYFUNCTION("""COMPUTED_VALUE"""),"EX.RATE/DATE/")</f>
        <v>EX.RATE/DATE/</v>
      </c>
      <c r="F231" s="278" t="str">
        <f ca="1">IFERROR(__xludf.DUMMYFUNCTION("""COMPUTED_VALUE"""),"SI CUT OFF USA,MX")</f>
        <v>SI CUT OFF USA,MX</v>
      </c>
      <c r="G231" s="278" t="str">
        <f ca="1">IFERROR(__xludf.DUMMYFUNCTION("""COMPUTED_VALUE"""),"SI CUT OFF")</f>
        <v>SI CUT OFF</v>
      </c>
      <c r="H231" s="278" t="str">
        <f ca="1">IFERROR(__xludf.DUMMYFUNCTION("""COMPUTED_VALUE"""),"B/L CFM USA.MX")</f>
        <v>B/L CFM USA.MX</v>
      </c>
      <c r="I231" s="280" t="str">
        <f ca="1">IFERROR(__xludf.DUMMYFUNCTION("""COMPUTED_VALUE"""),"B/L CFM CHINA,JP,VN")</f>
        <v>B/L CFM CHINA,JP,VN</v>
      </c>
      <c r="J231" s="280" t="str">
        <f ca="1">IFERROR(__xludf.DUMMYFUNCTION("""COMPUTED_VALUE"""),"B/L CONFIRM")</f>
        <v>B/L CONFIRM</v>
      </c>
      <c r="K231" s="280" t="str">
        <f ca="1">IFERROR(__xludf.DUMMYFUNCTION("""COMPUTED_VALUE"""),"ETD")</f>
        <v>ETD</v>
      </c>
      <c r="L231" s="278" t="str">
        <f ca="1">IFERROR(__xludf.DUMMYFUNCTION("""COMPUTED_VALUE"""),"ATD")</f>
        <v>ATD</v>
      </c>
      <c r="M231" s="278" t="str">
        <f ca="1">IFERROR(__xludf.DUMMYFUNCTION("""COMPUTED_VALUE"""),"B/L ISSUED DATE")</f>
        <v>B/L ISSUED DATE</v>
      </c>
    </row>
    <row r="232" spans="1:13" ht="18.75" hidden="1">
      <c r="A232" s="278"/>
      <c r="B232" s="278"/>
      <c r="C232" s="279"/>
      <c r="D232" s="278"/>
      <c r="E232" s="278" t="str">
        <f ca="1">IFERROR(__xludf.DUMMYFUNCTION("""COMPUTED_VALUE"""),"BANGKOK BANK")</f>
        <v>BANGKOK BANK</v>
      </c>
      <c r="F232" s="278" t="str">
        <f ca="1">IFERROR(__xludf.DUMMYFUNCTION("""COMPUTED_VALUE"""),"4 days before ETD")</f>
        <v>4 days before ETD</v>
      </c>
      <c r="G232" s="278"/>
      <c r="H232" s="278" t="str">
        <f ca="1">IFERROR(__xludf.DUMMYFUNCTION("""COMPUTED_VALUE"""),"3 days before ETD")</f>
        <v>3 days before ETD</v>
      </c>
      <c r="I232" s="280" t="str">
        <f ca="1">IFERROR(__xludf.DUMMYFUNCTION("""COMPUTED_VALUE"""),"Direct port CUT OFF")</f>
        <v>Direct port CUT OFF</v>
      </c>
      <c r="J232" s="280" t="str">
        <f ca="1">IFERROR(__xludf.DUMMYFUNCTION("""COMPUTED_VALUE"""),"Orther port CUT OFF")</f>
        <v>Orther port CUT OFF</v>
      </c>
      <c r="K232" s="280" t="str">
        <f ca="1">IFERROR(__xludf.DUMMYFUNCTION("""COMPUTED_VALUE"""),"ON BOARD DATE")</f>
        <v>ON BOARD DATE</v>
      </c>
      <c r="L232" s="278" t="str">
        <f ca="1">IFERROR(__xludf.DUMMYFUNCTION("""COMPUTED_VALUE"""),"วันเรือออกจริง")</f>
        <v>วันเรือออกจริง</v>
      </c>
      <c r="M232" s="278" t="str">
        <f ca="1">IFERROR(__xludf.DUMMYFUNCTION("""COMPUTED_VALUE"""),"วันปล่อยบีแอล")</f>
        <v>วันปล่อยบีแอล</v>
      </c>
    </row>
    <row r="233" spans="1:13" ht="18.75" hidden="1">
      <c r="A233" s="278"/>
      <c r="B233" s="278"/>
      <c r="C233" s="279"/>
      <c r="D233" s="278"/>
      <c r="E233" s="278"/>
      <c r="F233" s="278"/>
      <c r="G233" s="278" t="str">
        <f ca="1">IFERROR(__xludf.DUMMYFUNCTION("""COMPUTED_VALUE"""),"3 days before ETD")</f>
        <v>3 days before ETD</v>
      </c>
      <c r="H233" s="278"/>
      <c r="I233" s="280" t="str">
        <f ca="1">IFERROR(__xludf.DUMMYFUNCTION("""COMPUTED_VALUE"""),"2 days before ETD")</f>
        <v>2 days before ETD</v>
      </c>
      <c r="J233" s="280" t="str">
        <f ca="1">IFERROR(__xludf.DUMMYFUNCTION("""COMPUTED_VALUE"""),"1 days before ETD")</f>
        <v>1 days before ETD</v>
      </c>
      <c r="K233" s="280" t="str">
        <f ca="1">IFERROR(__xludf.DUMMYFUNCTION("""COMPUTED_VALUE"""),"SHOW ON B/L")</f>
        <v>SHOW ON B/L</v>
      </c>
      <c r="L233" s="278"/>
      <c r="M233" s="278"/>
    </row>
    <row r="234" spans="1:13" ht="18.75" hidden="1">
      <c r="A234" s="278" t="str">
        <f ca="1">IFERROR(__xludf.DUMMYFUNCTION("""COMPUTED_VALUE"""),"CHT")</f>
        <v>CHT</v>
      </c>
      <c r="B234" s="278" t="str">
        <f ca="1">IFERROR(__xludf.DUMMYFUNCTION("""COMPUTED_VALUE"""),"SAWASDEE RIGEL V.2509N")</f>
        <v>SAWASDEE RIGEL V.2509N</v>
      </c>
      <c r="C234" s="279" t="str">
        <f ca="1">IFERROR(__xludf.DUMMYFUNCTION("""COMPUTED_VALUE"""),"THBKK")</f>
        <v>THBKK</v>
      </c>
      <c r="D234" s="278" t="str">
        <f ca="1">IFERROR(__xludf.DUMMYFUNCTION("""COMPUTED_VALUE"""),"13/08/2025 08:00")</f>
        <v>13/08/2025 08:00</v>
      </c>
      <c r="E234" s="278" t="str">
        <f ca="1">IFERROR(__xludf.DUMMYFUNCTION("""COMPUTED_VALUE"""),"32.85 21/08/2025")</f>
        <v>32.85 21/08/2025</v>
      </c>
      <c r="F234" s="278" t="str">
        <f ca="1">IFERROR(__xludf.DUMMYFUNCTION("""COMPUTED_VALUE"""),"26/08/2025 15:00")</f>
        <v>26/08/2025 15:00</v>
      </c>
      <c r="G234" s="278" t="str">
        <f ca="1">IFERROR(__xludf.DUMMYFUNCTION("""COMPUTED_VALUE"""),"27/08/2025 15:00")</f>
        <v>27/08/2025 15:00</v>
      </c>
      <c r="H234" s="278" t="str">
        <f ca="1">IFERROR(__xludf.DUMMYFUNCTION("""COMPUTED_VALUE"""),"27/08/2025 15:00")</f>
        <v>27/08/2025 15:00</v>
      </c>
      <c r="I234" s="280" t="str">
        <f ca="1">IFERROR(__xludf.DUMMYFUNCTION("""COMPUTED_VALUE"""),"28/08/2025 15:00")</f>
        <v>28/08/2025 15:00</v>
      </c>
      <c r="J234" s="280" t="str">
        <f ca="1">IFERROR(__xludf.DUMMYFUNCTION("""COMPUTED_VALUE"""),"29/08/2025 16:00")</f>
        <v>29/08/2025 16:00</v>
      </c>
      <c r="K234" s="280" t="str">
        <f ca="1">IFERROR(__xludf.DUMMYFUNCTION("""COMPUTED_VALUE"""),"30/08/2025 17:00")</f>
        <v>30/08/2025 17:00</v>
      </c>
      <c r="L234" s="278" t="str">
        <f ca="1">IFERROR(__xludf.DUMMYFUNCTION("""COMPUTED_VALUE"""),"30/08/2025 17:00")</f>
        <v>30/08/2025 17:00</v>
      </c>
      <c r="M234" s="278" t="str">
        <f ca="1">IFERROR(__xludf.DUMMYFUNCTION("""COMPUTED_VALUE"""),"01/09/2025 MORNING")</f>
        <v>01/09/2025 MORNING</v>
      </c>
    </row>
    <row r="235" spans="1:13" ht="18.75" hidden="1">
      <c r="A235" s="278"/>
      <c r="B235" s="278"/>
      <c r="C235" s="279" t="str">
        <f ca="1">IFERROR(__xludf.DUMMYFUNCTION("""COMPUTED_VALUE"""),"THLCB")</f>
        <v>THLCB</v>
      </c>
      <c r="D235" s="278" t="str">
        <f ca="1">IFERROR(__xludf.DUMMYFUNCTION("""COMPUTED_VALUE"""),"14/08/2025 04:00")</f>
        <v>14/08/2025 04:00</v>
      </c>
      <c r="E235" s="278"/>
      <c r="F235" s="278" t="str">
        <f ca="1">IFERROR(__xludf.DUMMYFUNCTION("""COMPUTED_VALUE"""),"26/08/2025 15:00")</f>
        <v>26/08/2025 15:00</v>
      </c>
      <c r="G235" s="278" t="str">
        <f ca="1">IFERROR(__xludf.DUMMYFUNCTION("""COMPUTED_VALUE"""),"27/08/2025 15:00")</f>
        <v>27/08/2025 15:00</v>
      </c>
      <c r="H235" s="278" t="str">
        <f ca="1">IFERROR(__xludf.DUMMYFUNCTION("""COMPUTED_VALUE"""),"27/08/2025 15:00")</f>
        <v>27/08/2025 15:00</v>
      </c>
      <c r="I235" s="280" t="str">
        <f ca="1">IFERROR(__xludf.DUMMYFUNCTION("""COMPUTED_VALUE"""),"28/08/2025 15:00")</f>
        <v>28/08/2025 15:00</v>
      </c>
      <c r="J235" s="280" t="str">
        <f ca="1">IFERROR(__xludf.DUMMYFUNCTION("""COMPUTED_VALUE"""),"29/08/2025 16:00")</f>
        <v>29/08/2025 16:00</v>
      </c>
      <c r="K235" s="280" t="str">
        <f ca="1">IFERROR(__xludf.DUMMYFUNCTION("""COMPUTED_VALUE"""),"31/08/2025 12:00")</f>
        <v>31/08/2025 12:00</v>
      </c>
      <c r="L235" s="278" t="str">
        <f ca="1">IFERROR(__xludf.DUMMYFUNCTION("""COMPUTED_VALUE"""),"31/08/2025 15:00")</f>
        <v>31/08/2025 15:00</v>
      </c>
      <c r="M235" s="278" t="str">
        <f ca="1">IFERROR(__xludf.DUMMYFUNCTION("""COMPUTED_VALUE"""),"01/09/2025 NOON")</f>
        <v>01/09/2025 NOON</v>
      </c>
    </row>
    <row r="236" spans="1:13" ht="18.75" hidden="1">
      <c r="A236" s="278" t="str">
        <f ca="1">IFERROR(__xludf.DUMMYFUNCTION("""COMPUTED_VALUE"""),"CVT")</f>
        <v>CVT</v>
      </c>
      <c r="B236" s="278" t="str">
        <f ca="1">IFERROR(__xludf.DUMMYFUNCTION("""COMPUTED_VALUE"""),"KMTC POHANG V.2510N")</f>
        <v>KMTC POHANG V.2510N</v>
      </c>
      <c r="C236" s="279" t="str">
        <f ca="1">IFERROR(__xludf.DUMMYFUNCTION("""COMPUTED_VALUE"""),"THBKK")</f>
        <v>THBKK</v>
      </c>
      <c r="D236" s="278" t="str">
        <f ca="1">IFERROR(__xludf.DUMMYFUNCTION("""COMPUTED_VALUE"""),"28/08/2025 08:00")</f>
        <v>28/08/2025 08:00</v>
      </c>
      <c r="E236" s="278" t="str">
        <f ca="1">IFERROR(__xludf.DUMMYFUNCTION("""COMPUTED_VALUE"""),"32.9 22/08/2025")</f>
        <v>32.9 22/08/2025</v>
      </c>
      <c r="F236" s="278" t="str">
        <f ca="1">IFERROR(__xludf.DUMMYFUNCTION("""COMPUTED_VALUE"""),"28/08/2025 15:00")</f>
        <v>28/08/2025 15:00</v>
      </c>
      <c r="G236" s="278" t="str">
        <f ca="1">IFERROR(__xludf.DUMMYFUNCTION("""COMPUTED_VALUE"""),"29/08/2025 15:00")</f>
        <v>29/08/2025 15:00</v>
      </c>
      <c r="H236" s="278" t="str">
        <f ca="1">IFERROR(__xludf.DUMMYFUNCTION("""COMPUTED_VALUE"""),"29/08/2025 15:00")</f>
        <v>29/08/2025 15:00</v>
      </c>
      <c r="I236" s="280" t="str">
        <f ca="1">IFERROR(__xludf.DUMMYFUNCTION("""COMPUTED_VALUE"""),"30/08/2025 15:00")</f>
        <v>30/08/2025 15:00</v>
      </c>
      <c r="J236" s="280" t="str">
        <f ca="1">IFERROR(__xludf.DUMMYFUNCTION("""COMPUTED_VALUE"""),"31/08/2025 16:00")</f>
        <v>31/08/2025 16:00</v>
      </c>
      <c r="K236" s="283">
        <f ca="1">IFERROR(__xludf.DUMMYFUNCTION("""COMPUTED_VALUE"""),45666.5416666666)</f>
        <v>45666.541666666599</v>
      </c>
      <c r="L236" s="282">
        <f ca="1">IFERROR(__xludf.DUMMYFUNCTION("""COMPUTED_VALUE"""),45666.5416666666)</f>
        <v>45666.541666666599</v>
      </c>
      <c r="M236" s="278" t="str">
        <f ca="1">IFERROR(__xludf.DUMMYFUNCTION("""COMPUTED_VALUE"""),"02/09/2025 MORNING")</f>
        <v>02/09/2025 MORNING</v>
      </c>
    </row>
    <row r="237" spans="1:13" ht="18.75" hidden="1">
      <c r="A237" s="278"/>
      <c r="B237" s="278"/>
      <c r="C237" s="279" t="str">
        <f ca="1">IFERROR(__xludf.DUMMYFUNCTION("""COMPUTED_VALUE"""),"THLCB")</f>
        <v>THLCB</v>
      </c>
      <c r="D237" s="278" t="str">
        <f ca="1">IFERROR(__xludf.DUMMYFUNCTION("""COMPUTED_VALUE"""),"29/08/2025 04:00")</f>
        <v>29/08/2025 04:00</v>
      </c>
      <c r="E237" s="278"/>
      <c r="F237" s="278" t="str">
        <f ca="1">IFERROR(__xludf.DUMMYFUNCTION("""COMPUTED_VALUE"""),"29/08/2025 15:00")</f>
        <v>29/08/2025 15:00</v>
      </c>
      <c r="G237" s="278" t="str">
        <f ca="1">IFERROR(__xludf.DUMMYFUNCTION("""COMPUTED_VALUE"""),"30/08/2025 15:00")</f>
        <v>30/08/2025 15:00</v>
      </c>
      <c r="H237" s="278" t="str">
        <f ca="1">IFERROR(__xludf.DUMMYFUNCTION("""COMPUTED_VALUE"""),"30/08/2025 15:00")</f>
        <v>30/08/2025 15:00</v>
      </c>
      <c r="I237" s="280" t="str">
        <f ca="1">IFERROR(__xludf.DUMMYFUNCTION("""COMPUTED_VALUE"""),"31/08/2025 15:00")</f>
        <v>31/08/2025 15:00</v>
      </c>
      <c r="J237" s="283">
        <f ca="1">IFERROR(__xludf.DUMMYFUNCTION("""COMPUTED_VALUE"""),45666.6666666666)</f>
        <v>45666.666666666599</v>
      </c>
      <c r="K237" s="283">
        <f ca="1">IFERROR(__xludf.DUMMYFUNCTION("""COMPUTED_VALUE"""),45697.4583333333)</f>
        <v>45697.458333333299</v>
      </c>
      <c r="L237" s="282">
        <f ca="1">IFERROR(__xludf.DUMMYFUNCTION("""COMPUTED_VALUE"""),45697.4583333333)</f>
        <v>45697.458333333299</v>
      </c>
      <c r="M237" s="278" t="str">
        <f ca="1">IFERROR(__xludf.DUMMYFUNCTION("""COMPUTED_VALUE"""),"03/09/2025 MORNING")</f>
        <v>03/09/2025 MORNING</v>
      </c>
    </row>
    <row r="238" spans="1:13" ht="18.75" hidden="1">
      <c r="A238" s="278"/>
      <c r="B238" s="278"/>
      <c r="C238" s="279"/>
      <c r="D238" s="278"/>
      <c r="E238" s="278"/>
      <c r="F238" s="278"/>
      <c r="G238" s="278"/>
      <c r="H238" s="278"/>
      <c r="I238" s="280"/>
      <c r="J238" s="280"/>
      <c r="K238" s="280"/>
      <c r="L238" s="278"/>
      <c r="M238" s="278"/>
    </row>
    <row r="239" spans="1:13" ht="18.75" hidden="1">
      <c r="A239" s="278"/>
      <c r="B239" s="278"/>
      <c r="C239" s="279"/>
      <c r="D239" s="278"/>
      <c r="E239" s="278"/>
      <c r="F239" s="278"/>
      <c r="G239" s="278"/>
      <c r="H239" s="278"/>
      <c r="I239" s="280"/>
      <c r="J239" s="280"/>
      <c r="K239" s="280"/>
      <c r="L239" s="278"/>
      <c r="M239" s="278"/>
    </row>
    <row r="240" spans="1:13" ht="18.75" hidden="1">
      <c r="A240" s="278"/>
      <c r="B240" s="278" t="str">
        <f ca="1">IFERROR(__xludf.DUMMYFUNCTION("""COMPUTED_VALUE"""),"WEEK 34/2025")</f>
        <v>WEEK 34/2025</v>
      </c>
      <c r="C240" s="279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240" s="278"/>
      <c r="E240" s="278"/>
      <c r="F240" s="278"/>
      <c r="G240" s="278"/>
      <c r="H240" s="278"/>
      <c r="I240" s="280"/>
      <c r="J240" s="280"/>
      <c r="K240" s="280"/>
      <c r="L240" s="278"/>
      <c r="M240" s="278"/>
    </row>
    <row r="241" spans="1:13" ht="18.75" hidden="1">
      <c r="A241" s="278"/>
      <c r="B241" s="278"/>
      <c r="C241" s="279" t="str">
        <f ca="1">IFERROR(__xludf.DUMMYFUNCTION("""COMPUTED_VALUE"""),"(AUG 2025 shipment) LDOC THB1450/SLC THB300")</f>
        <v>(AUG 2025 shipment) LDOC THB1450/SLC THB300</v>
      </c>
      <c r="D241" s="278"/>
      <c r="E241" s="278"/>
      <c r="F241" s="278"/>
      <c r="G241" s="278"/>
      <c r="H241" s="278"/>
      <c r="I241" s="280"/>
      <c r="J241" s="280"/>
      <c r="K241" s="280"/>
      <c r="L241" s="278"/>
      <c r="M241" s="278"/>
    </row>
    <row r="242" spans="1:13" ht="18.75" hidden="1">
      <c r="A242" s="278" t="str">
        <f ca="1">IFERROR(__xludf.DUMMYFUNCTION("""COMPUTED_VALUE"""),"SERVICE")</f>
        <v>SERVICE</v>
      </c>
      <c r="B242" s="278" t="str">
        <f ca="1">IFERROR(__xludf.DUMMYFUNCTION("""COMPUTED_VALUE"""),"VESSEL NAME")</f>
        <v>VESSEL NAME</v>
      </c>
      <c r="C242" s="279" t="str">
        <f ca="1">IFERROR(__xludf.DUMMYFUNCTION("""COMPUTED_VALUE"""),"PORT")</f>
        <v>PORT</v>
      </c>
      <c r="D242" s="278" t="str">
        <f ca="1">IFERROR(__xludf.DUMMYFUNCTION("""COMPUTED_VALUE"""),"PERFOMA ETD")</f>
        <v>PERFOMA ETD</v>
      </c>
      <c r="E242" s="278" t="str">
        <f ca="1">IFERROR(__xludf.DUMMYFUNCTION("""COMPUTED_VALUE"""),"EX.RATE/DATE/")</f>
        <v>EX.RATE/DATE/</v>
      </c>
      <c r="F242" s="278" t="str">
        <f ca="1">IFERROR(__xludf.DUMMYFUNCTION("""COMPUTED_VALUE"""),"SI CUT OFF USA,MX")</f>
        <v>SI CUT OFF USA,MX</v>
      </c>
      <c r="G242" s="278" t="str">
        <f ca="1">IFERROR(__xludf.DUMMYFUNCTION("""COMPUTED_VALUE"""),"SI CUT OFF")</f>
        <v>SI CUT OFF</v>
      </c>
      <c r="H242" s="278" t="str">
        <f ca="1">IFERROR(__xludf.DUMMYFUNCTION("""COMPUTED_VALUE"""),"B/L CFM USA.MX")</f>
        <v>B/L CFM USA.MX</v>
      </c>
      <c r="I242" s="280" t="str">
        <f ca="1">IFERROR(__xludf.DUMMYFUNCTION("""COMPUTED_VALUE"""),"B/L CFM CHINA,JP,VN")</f>
        <v>B/L CFM CHINA,JP,VN</v>
      </c>
      <c r="J242" s="280" t="str">
        <f ca="1">IFERROR(__xludf.DUMMYFUNCTION("""COMPUTED_VALUE"""),"B/L CONFIRM")</f>
        <v>B/L CONFIRM</v>
      </c>
      <c r="K242" s="280" t="str">
        <f ca="1">IFERROR(__xludf.DUMMYFUNCTION("""COMPUTED_VALUE"""),"ETD")</f>
        <v>ETD</v>
      </c>
      <c r="L242" s="278" t="str">
        <f ca="1">IFERROR(__xludf.DUMMYFUNCTION("""COMPUTED_VALUE"""),"ATD")</f>
        <v>ATD</v>
      </c>
      <c r="M242" s="278" t="str">
        <f ca="1">IFERROR(__xludf.DUMMYFUNCTION("""COMPUTED_VALUE"""),"B/L ISSUED DATE")</f>
        <v>B/L ISSUED DATE</v>
      </c>
    </row>
    <row r="243" spans="1:13" ht="18.75" hidden="1">
      <c r="A243" s="278"/>
      <c r="B243" s="278"/>
      <c r="C243" s="279"/>
      <c r="D243" s="278"/>
      <c r="E243" s="278" t="str">
        <f ca="1">IFERROR(__xludf.DUMMYFUNCTION("""COMPUTED_VALUE"""),"BANGKOK BANK")</f>
        <v>BANGKOK BANK</v>
      </c>
      <c r="F243" s="278" t="str">
        <f ca="1">IFERROR(__xludf.DUMMYFUNCTION("""COMPUTED_VALUE"""),"4 days before ETD")</f>
        <v>4 days before ETD</v>
      </c>
      <c r="G243" s="278"/>
      <c r="H243" s="278" t="str">
        <f ca="1">IFERROR(__xludf.DUMMYFUNCTION("""COMPUTED_VALUE"""),"3 days before ETD")</f>
        <v>3 days before ETD</v>
      </c>
      <c r="I243" s="280" t="str">
        <f ca="1">IFERROR(__xludf.DUMMYFUNCTION("""COMPUTED_VALUE"""),"Direct port CUT OFF")</f>
        <v>Direct port CUT OFF</v>
      </c>
      <c r="J243" s="280" t="str">
        <f ca="1">IFERROR(__xludf.DUMMYFUNCTION("""COMPUTED_VALUE"""),"Orther port CUT OFF")</f>
        <v>Orther port CUT OFF</v>
      </c>
      <c r="K243" s="280" t="str">
        <f ca="1">IFERROR(__xludf.DUMMYFUNCTION("""COMPUTED_VALUE"""),"ON BOARD DATE")</f>
        <v>ON BOARD DATE</v>
      </c>
      <c r="L243" s="278" t="str">
        <f ca="1">IFERROR(__xludf.DUMMYFUNCTION("""COMPUTED_VALUE"""),"วันเรือออกจริง")</f>
        <v>วันเรือออกจริง</v>
      </c>
      <c r="M243" s="278" t="str">
        <f ca="1">IFERROR(__xludf.DUMMYFUNCTION("""COMPUTED_VALUE"""),"วันปล่อยบีแอล")</f>
        <v>วันปล่อยบีแอล</v>
      </c>
    </row>
    <row r="244" spans="1:13" ht="18.75" hidden="1">
      <c r="A244" s="278"/>
      <c r="B244" s="278"/>
      <c r="C244" s="279"/>
      <c r="D244" s="278"/>
      <c r="E244" s="278"/>
      <c r="F244" s="278"/>
      <c r="G244" s="278" t="str">
        <f ca="1">IFERROR(__xludf.DUMMYFUNCTION("""COMPUTED_VALUE"""),"3 days before ETD")</f>
        <v>3 days before ETD</v>
      </c>
      <c r="H244" s="278"/>
      <c r="I244" s="280" t="str">
        <f ca="1">IFERROR(__xludf.DUMMYFUNCTION("""COMPUTED_VALUE"""),"2 days before ETD")</f>
        <v>2 days before ETD</v>
      </c>
      <c r="J244" s="280" t="str">
        <f ca="1">IFERROR(__xludf.DUMMYFUNCTION("""COMPUTED_VALUE"""),"1 days before ETD")</f>
        <v>1 days before ETD</v>
      </c>
      <c r="K244" s="280" t="str">
        <f ca="1">IFERROR(__xludf.DUMMYFUNCTION("""COMPUTED_VALUE"""),"SHOW ON B/L")</f>
        <v>SHOW ON B/L</v>
      </c>
      <c r="L244" s="278"/>
      <c r="M244" s="278"/>
    </row>
    <row r="245" spans="1:13" ht="18.75" hidden="1">
      <c r="A245" s="278" t="str">
        <f ca="1">IFERROR(__xludf.DUMMYFUNCTION("""COMPUTED_VALUE"""),"CVT")</f>
        <v>CVT</v>
      </c>
      <c r="B245" s="278" t="str">
        <f ca="1">IFERROR(__xludf.DUMMYFUNCTION("""COMPUTED_VALUE"""),"AVIOS V.2512N")</f>
        <v>AVIOS V.2512N</v>
      </c>
      <c r="C245" s="279" t="str">
        <f ca="1">IFERROR(__xludf.DUMMYFUNCTION("""COMPUTED_VALUE"""),"THBKK")</f>
        <v>THBKK</v>
      </c>
      <c r="D245" s="278" t="str">
        <f ca="1">IFERROR(__xludf.DUMMYFUNCTION("""COMPUTED_VALUE"""),"21/08/2025 08:00")</f>
        <v>21/08/2025 08:00</v>
      </c>
      <c r="E245" s="278" t="str">
        <f ca="1">IFERROR(__xludf.DUMMYFUNCTION("""COMPUTED_VALUE"""),"32.7 15/08/2025")</f>
        <v>32.7 15/08/2025</v>
      </c>
      <c r="F245" s="278" t="str">
        <f ca="1">IFERROR(__xludf.DUMMYFUNCTION("""COMPUTED_VALUE"""),"23/08/2025 15:00")</f>
        <v>23/08/2025 15:00</v>
      </c>
      <c r="G245" s="278" t="str">
        <f ca="1">IFERROR(__xludf.DUMMYFUNCTION("""COMPUTED_VALUE"""),"24/08/2025 15:00")</f>
        <v>24/08/2025 15:00</v>
      </c>
      <c r="H245" s="278" t="str">
        <f ca="1">IFERROR(__xludf.DUMMYFUNCTION("""COMPUTED_VALUE"""),"24/08/2025 15:00")</f>
        <v>24/08/2025 15:00</v>
      </c>
      <c r="I245" s="280" t="str">
        <f ca="1">IFERROR(__xludf.DUMMYFUNCTION("""COMPUTED_VALUE"""),"25/08/2025 15:00")</f>
        <v>25/08/2025 15:00</v>
      </c>
      <c r="J245" s="280" t="str">
        <f ca="1">IFERROR(__xludf.DUMMYFUNCTION("""COMPUTED_VALUE"""),"26/08/2025 16:00")</f>
        <v>26/08/2025 16:00</v>
      </c>
      <c r="K245" s="280" t="str">
        <f ca="1">IFERROR(__xludf.DUMMYFUNCTION("""COMPUTED_VALUE"""),"27/08/2025 16:00")</f>
        <v>27/08/2025 16:00</v>
      </c>
      <c r="L245" s="278" t="str">
        <f ca="1">IFERROR(__xludf.DUMMYFUNCTION("""COMPUTED_VALUE"""),"27/08/2025 16:00")</f>
        <v>27/08/2025 16:00</v>
      </c>
      <c r="M245" s="278" t="str">
        <f ca="1">IFERROR(__xludf.DUMMYFUNCTION("""COMPUTED_VALUE"""),"28-08-2025 MORNING")</f>
        <v>28-08-2025 MORNING</v>
      </c>
    </row>
    <row r="246" spans="1:13" ht="18.75" hidden="1">
      <c r="A246" s="278"/>
      <c r="B246" s="278"/>
      <c r="C246" s="279" t="str">
        <f ca="1">IFERROR(__xludf.DUMMYFUNCTION("""COMPUTED_VALUE"""),"THLCB")</f>
        <v>THLCB</v>
      </c>
      <c r="D246" s="278" t="str">
        <f ca="1">IFERROR(__xludf.DUMMYFUNCTION("""COMPUTED_VALUE"""),"22/08/2025 04:00")</f>
        <v>22/08/2025 04:00</v>
      </c>
      <c r="E246" s="278"/>
      <c r="F246" s="278" t="str">
        <f ca="1">IFERROR(__xludf.DUMMYFUNCTION("""COMPUTED_VALUE"""),"25/08/2025 15:00")</f>
        <v>25/08/2025 15:00</v>
      </c>
      <c r="G246" s="278" t="str">
        <f ca="1">IFERROR(__xludf.DUMMYFUNCTION("""COMPUTED_VALUE"""),"26/08/2025 15:00")</f>
        <v>26/08/2025 15:00</v>
      </c>
      <c r="H246" s="278" t="str">
        <f ca="1">IFERROR(__xludf.DUMMYFUNCTION("""COMPUTED_VALUE"""),"26/08/2025 15:00")</f>
        <v>26/08/2025 15:00</v>
      </c>
      <c r="I246" s="280" t="str">
        <f ca="1">IFERROR(__xludf.DUMMYFUNCTION("""COMPUTED_VALUE"""),"27/08/2025 15:00")</f>
        <v>27/08/2025 15:00</v>
      </c>
      <c r="J246" s="280" t="str">
        <f ca="1">IFERROR(__xludf.DUMMYFUNCTION("""COMPUTED_VALUE"""),"28/08/2025 16:00")</f>
        <v>28/08/2025 16:00</v>
      </c>
      <c r="K246" s="280" t="str">
        <f ca="1">IFERROR(__xludf.DUMMYFUNCTION("""COMPUTED_VALUE"""),"29/08/2025 07:00")</f>
        <v>29/08/2025 07:00</v>
      </c>
      <c r="L246" s="278" t="str">
        <f ca="1">IFERROR(__xludf.DUMMYFUNCTION("""COMPUTED_VALUE"""),"29/08/2025 08:00")</f>
        <v>29/08/2025 08:00</v>
      </c>
      <c r="M246" s="278" t="str">
        <f ca="1">IFERROR(__xludf.DUMMYFUNCTION("""COMPUTED_VALUE"""),"29-08-2025 NOON")</f>
        <v>29-08-2025 NOON</v>
      </c>
    </row>
    <row r="247" spans="1:13" ht="18.75" hidden="1">
      <c r="A247" s="278" t="str">
        <f ca="1">IFERROR(__xludf.DUMMYFUNCTION("""COMPUTED_VALUE"""),"JTX")</f>
        <v>JTX</v>
      </c>
      <c r="B247" s="278" t="str">
        <f ca="1">IFERROR(__xludf.DUMMYFUNCTION("""COMPUTED_VALUE"""),"CNC SULAWESI V.0QILIN")</f>
        <v>CNC SULAWESI V.0QILIN</v>
      </c>
      <c r="C247" s="279" t="str">
        <f ca="1">IFERROR(__xludf.DUMMYFUNCTION("""COMPUTED_VALUE"""),"THLCB")</f>
        <v>THLCB</v>
      </c>
      <c r="D247" s="278" t="str">
        <f ca="1">IFERROR(__xludf.DUMMYFUNCTION("""COMPUTED_VALUE"""),"22/08/2025 22:00")</f>
        <v>22/08/2025 22:00</v>
      </c>
      <c r="E247" s="278" t="str">
        <f ca="1">IFERROR(__xludf.DUMMYFUNCTION("""COMPUTED_VALUE"""),"32.71 18/08/2025")</f>
        <v>32.71 18/08/2025</v>
      </c>
      <c r="F247" s="278" t="str">
        <f ca="1">IFERROR(__xludf.DUMMYFUNCTION("""COMPUTED_VALUE"""),"22/08/2025 15:00")</f>
        <v>22/08/2025 15:00</v>
      </c>
      <c r="G247" s="278" t="str">
        <f ca="1">IFERROR(__xludf.DUMMYFUNCTION("""COMPUTED_VALUE"""),"23/08/2025 15:00")</f>
        <v>23/08/2025 15:00</v>
      </c>
      <c r="H247" s="278" t="str">
        <f ca="1">IFERROR(__xludf.DUMMYFUNCTION("""COMPUTED_VALUE"""),"23/08/2025 15:00")</f>
        <v>23/08/2025 15:00</v>
      </c>
      <c r="I247" s="280" t="str">
        <f ca="1">IFERROR(__xludf.DUMMYFUNCTION("""COMPUTED_VALUE"""),"24/08/2025 15:00")</f>
        <v>24/08/2025 15:00</v>
      </c>
      <c r="J247" s="280" t="str">
        <f ca="1">IFERROR(__xludf.DUMMYFUNCTION("""COMPUTED_VALUE"""),"25/08/2025 16:00")</f>
        <v>25/08/2025 16:00</v>
      </c>
      <c r="K247" s="280" t="str">
        <f ca="1">IFERROR(__xludf.DUMMYFUNCTION("""COMPUTED_VALUE"""),"26/08/2025 05:00")</f>
        <v>26/08/2025 05:00</v>
      </c>
      <c r="L247" s="278" t="str">
        <f ca="1">IFERROR(__xludf.DUMMYFUNCTION("""COMPUTED_VALUE"""),"26/08/2025 06:00")</f>
        <v>26/08/2025 06:00</v>
      </c>
      <c r="M247" s="278" t="str">
        <f ca="1">IFERROR(__xludf.DUMMYFUNCTION("""COMPUTED_VALUE"""),"26-08-2025 NOON")</f>
        <v>26-08-2025 NOON</v>
      </c>
    </row>
    <row r="248" spans="1:13" ht="18.75" hidden="1">
      <c r="A248" s="278"/>
      <c r="B248" s="278"/>
      <c r="C248" s="279"/>
      <c r="D248" s="278"/>
      <c r="E248" s="278"/>
      <c r="F248" s="278"/>
      <c r="G248" s="278"/>
      <c r="H248" s="278"/>
      <c r="I248" s="280"/>
      <c r="J248" s="280"/>
      <c r="K248" s="280"/>
      <c r="L248" s="278"/>
      <c r="M248" s="278"/>
    </row>
    <row r="249" spans="1:13" ht="18.75" hidden="1">
      <c r="A249" s="278"/>
      <c r="B249" s="278"/>
      <c r="C249" s="279"/>
      <c r="D249" s="278"/>
      <c r="E249" s="278"/>
      <c r="F249" s="278"/>
      <c r="G249" s="278"/>
      <c r="H249" s="278"/>
      <c r="I249" s="280"/>
      <c r="J249" s="280"/>
      <c r="K249" s="280"/>
      <c r="L249" s="278"/>
      <c r="M249" s="278"/>
    </row>
    <row r="250" spans="1:13" ht="18.75" hidden="1">
      <c r="A250" s="278"/>
      <c r="B250" s="278" t="str">
        <f ca="1">IFERROR(__xludf.DUMMYFUNCTION("""COMPUTED_VALUE"""),"WEEK 33/2025")</f>
        <v>WEEK 33/2025</v>
      </c>
      <c r="C250" s="279" t="str">
        <f ca="1">IFERROR(__xludf.DUMMYFUNCTION("""COMPUTED_VALUE"""),"12 AUG Holidays National Mother's Day")</f>
        <v>12 AUG Holidays National Mother's Day</v>
      </c>
      <c r="D250" s="278"/>
      <c r="E250" s="278"/>
      <c r="F250" s="278"/>
      <c r="G250" s="278" t="str">
        <f ca="1">IFERROR(__xludf.DUMMYFUNCTION("""COMPUTED_VALUE"""),"(AUG 2025 shipment) LDOC THB1450/SLC THB300")</f>
        <v>(AUG 2025 shipment) LDOC THB1450/SLC THB300</v>
      </c>
      <c r="H250" s="278"/>
      <c r="I250" s="280"/>
      <c r="J250" s="280"/>
      <c r="K250" s="280"/>
      <c r="L250" s="278"/>
      <c r="M250" s="278"/>
    </row>
    <row r="251" spans="1:13" ht="18.75" hidden="1">
      <c r="A251" s="278"/>
      <c r="B251" s="278"/>
      <c r="C251" s="279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251" s="278"/>
      <c r="E251" s="278"/>
      <c r="F251" s="278"/>
      <c r="G251" s="278"/>
      <c r="H251" s="278"/>
      <c r="I251" s="280"/>
      <c r="J251" s="280"/>
      <c r="K251" s="280"/>
      <c r="L251" s="278"/>
      <c r="M251" s="278"/>
    </row>
    <row r="252" spans="1:13" ht="18.75" hidden="1">
      <c r="A252" s="278" t="str">
        <f ca="1">IFERROR(__xludf.DUMMYFUNCTION("""COMPUTED_VALUE"""),"SERVICE")</f>
        <v>SERVICE</v>
      </c>
      <c r="B252" s="278" t="str">
        <f ca="1">IFERROR(__xludf.DUMMYFUNCTION("""COMPUTED_VALUE"""),"VESSEL NAME")</f>
        <v>VESSEL NAME</v>
      </c>
      <c r="C252" s="279" t="str">
        <f ca="1">IFERROR(__xludf.DUMMYFUNCTION("""COMPUTED_VALUE"""),"PORT")</f>
        <v>PORT</v>
      </c>
      <c r="D252" s="278" t="str">
        <f ca="1">IFERROR(__xludf.DUMMYFUNCTION("""COMPUTED_VALUE"""),"PERFOMA ETD")</f>
        <v>PERFOMA ETD</v>
      </c>
      <c r="E252" s="278" t="str">
        <f ca="1">IFERROR(__xludf.DUMMYFUNCTION("""COMPUTED_VALUE"""),"EX.RATE/DATE/")</f>
        <v>EX.RATE/DATE/</v>
      </c>
      <c r="F252" s="278" t="str">
        <f ca="1">IFERROR(__xludf.DUMMYFUNCTION("""COMPUTED_VALUE"""),"SI CUT OFF USA,MX")</f>
        <v>SI CUT OFF USA,MX</v>
      </c>
      <c r="G252" s="278" t="str">
        <f ca="1">IFERROR(__xludf.DUMMYFUNCTION("""COMPUTED_VALUE"""),"SI CUT OFF")</f>
        <v>SI CUT OFF</v>
      </c>
      <c r="H252" s="278" t="str">
        <f ca="1">IFERROR(__xludf.DUMMYFUNCTION("""COMPUTED_VALUE"""),"B/L CFM USA.MX")</f>
        <v>B/L CFM USA.MX</v>
      </c>
      <c r="I252" s="280" t="str">
        <f ca="1">IFERROR(__xludf.DUMMYFUNCTION("""COMPUTED_VALUE"""),"B/L CFM CHINA,JP,VN")</f>
        <v>B/L CFM CHINA,JP,VN</v>
      </c>
      <c r="J252" s="280" t="str">
        <f ca="1">IFERROR(__xludf.DUMMYFUNCTION("""COMPUTED_VALUE"""),"B/L CONFIRM")</f>
        <v>B/L CONFIRM</v>
      </c>
      <c r="K252" s="280" t="str">
        <f ca="1">IFERROR(__xludf.DUMMYFUNCTION("""COMPUTED_VALUE"""),"ETD")</f>
        <v>ETD</v>
      </c>
      <c r="L252" s="278" t="str">
        <f ca="1">IFERROR(__xludf.DUMMYFUNCTION("""COMPUTED_VALUE"""),"ATD")</f>
        <v>ATD</v>
      </c>
      <c r="M252" s="278" t="str">
        <f ca="1">IFERROR(__xludf.DUMMYFUNCTION("""COMPUTED_VALUE"""),"B/L ISSUED DATE")</f>
        <v>B/L ISSUED DATE</v>
      </c>
    </row>
    <row r="253" spans="1:13" ht="18.75" hidden="1">
      <c r="A253" s="278"/>
      <c r="B253" s="278"/>
      <c r="C253" s="279"/>
      <c r="D253" s="278"/>
      <c r="E253" s="278" t="str">
        <f ca="1">IFERROR(__xludf.DUMMYFUNCTION("""COMPUTED_VALUE"""),"BANGKOK BANK")</f>
        <v>BANGKOK BANK</v>
      </c>
      <c r="F253" s="278" t="str">
        <f ca="1">IFERROR(__xludf.DUMMYFUNCTION("""COMPUTED_VALUE"""),"4 days before ETD")</f>
        <v>4 days before ETD</v>
      </c>
      <c r="G253" s="278"/>
      <c r="H253" s="278" t="str">
        <f ca="1">IFERROR(__xludf.DUMMYFUNCTION("""COMPUTED_VALUE"""),"3 days before ETD")</f>
        <v>3 days before ETD</v>
      </c>
      <c r="I253" s="280" t="str">
        <f ca="1">IFERROR(__xludf.DUMMYFUNCTION("""COMPUTED_VALUE"""),"Direct port CUT OFF")</f>
        <v>Direct port CUT OFF</v>
      </c>
      <c r="J253" s="280" t="str">
        <f ca="1">IFERROR(__xludf.DUMMYFUNCTION("""COMPUTED_VALUE"""),"Orther port CUT OFF")</f>
        <v>Orther port CUT OFF</v>
      </c>
      <c r="K253" s="280" t="str">
        <f ca="1">IFERROR(__xludf.DUMMYFUNCTION("""COMPUTED_VALUE"""),"ON BOARD DATE")</f>
        <v>ON BOARD DATE</v>
      </c>
      <c r="L253" s="278" t="str">
        <f ca="1">IFERROR(__xludf.DUMMYFUNCTION("""COMPUTED_VALUE"""),"วันเรือออกจริง")</f>
        <v>วันเรือออกจริง</v>
      </c>
      <c r="M253" s="278" t="str">
        <f ca="1">IFERROR(__xludf.DUMMYFUNCTION("""COMPUTED_VALUE"""),"วันปล่อยบีแอล")</f>
        <v>วันปล่อยบีแอล</v>
      </c>
    </row>
    <row r="254" spans="1:13" ht="18.75" hidden="1">
      <c r="A254" s="278"/>
      <c r="B254" s="278"/>
      <c r="C254" s="279"/>
      <c r="D254" s="278"/>
      <c r="E254" s="278"/>
      <c r="F254" s="278"/>
      <c r="G254" s="278" t="str">
        <f ca="1">IFERROR(__xludf.DUMMYFUNCTION("""COMPUTED_VALUE"""),"3 days before ETD")</f>
        <v>3 days before ETD</v>
      </c>
      <c r="H254" s="278"/>
      <c r="I254" s="280" t="str">
        <f ca="1">IFERROR(__xludf.DUMMYFUNCTION("""COMPUTED_VALUE"""),"2 days before ETD")</f>
        <v>2 days before ETD</v>
      </c>
      <c r="J254" s="280" t="str">
        <f ca="1">IFERROR(__xludf.DUMMYFUNCTION("""COMPUTED_VALUE"""),"1 days before ETD")</f>
        <v>1 days before ETD</v>
      </c>
      <c r="K254" s="280" t="str">
        <f ca="1">IFERROR(__xludf.DUMMYFUNCTION("""COMPUTED_VALUE"""),"SHOW ON B/L")</f>
        <v>SHOW ON B/L</v>
      </c>
      <c r="L254" s="278"/>
      <c r="M254" s="278"/>
    </row>
    <row r="255" spans="1:13" ht="18.75" hidden="1">
      <c r="A255" s="278" t="str">
        <f ca="1">IFERROR(__xludf.DUMMYFUNCTION("""COMPUTED_VALUE"""),"JHTS")</f>
        <v>JHTS</v>
      </c>
      <c r="B255" s="278" t="str">
        <f ca="1">IFERROR(__xludf.DUMMYFUNCTION("""COMPUTED_VALUE"""),"TS KWANGYANG V.25011N")</f>
        <v>TS KWANGYANG V.25011N</v>
      </c>
      <c r="C255" s="279" t="str">
        <f ca="1">IFERROR(__xludf.DUMMYFUNCTION("""COMPUTED_VALUE"""),"THBKK")</f>
        <v>THBKK</v>
      </c>
      <c r="D255" s="331">
        <f ca="1">IFERROR(__xludf.DUMMYFUNCTION("""COMPUTED_VALUE"""),45724.25)</f>
        <v>45724.25</v>
      </c>
      <c r="E255" s="278" t="str">
        <f ca="1">IFERROR(__xludf.DUMMYFUNCTION("""COMPUTED_VALUE"""),"33.03 01/08/2025")</f>
        <v>33.03 01/08/2025</v>
      </c>
      <c r="F255" s="331">
        <f ca="1">IFERROR(__xludf.DUMMYFUNCTION("""COMPUTED_VALUE"""),45846.625)</f>
        <v>45846.625</v>
      </c>
      <c r="G255" s="331">
        <f ca="1">IFERROR(__xludf.DUMMYFUNCTION("""COMPUTED_VALUE"""),45877.625)</f>
        <v>45877.625</v>
      </c>
      <c r="H255" s="331">
        <f ca="1">IFERROR(__xludf.DUMMYFUNCTION("""COMPUTED_VALUE"""),45877.625)</f>
        <v>45877.625</v>
      </c>
      <c r="I255" s="284">
        <f ca="1">IFERROR(__xludf.DUMMYFUNCTION("""COMPUTED_VALUE"""),45908.625)</f>
        <v>45908.625</v>
      </c>
      <c r="J255" s="284">
        <f ca="1">IFERROR(__xludf.DUMMYFUNCTION("""COMPUTED_VALUE"""),45938.6666666666)</f>
        <v>45938.666666666599</v>
      </c>
      <c r="K255" s="284">
        <f ca="1">IFERROR(__xludf.DUMMYFUNCTION("""COMPUTED_VALUE"""),45969.7083333333)</f>
        <v>45969.708333333299</v>
      </c>
      <c r="L255" s="282">
        <f ca="1">IFERROR(__xludf.DUMMYFUNCTION("""COMPUTED_VALUE"""),45969.75)</f>
        <v>45969.75</v>
      </c>
      <c r="M255" s="278" t="str">
        <f ca="1">IFERROR(__xludf.DUMMYFUNCTION("""COMPUTED_VALUE"""),"13/08/2025 MORNING")</f>
        <v>13/08/2025 MORNING</v>
      </c>
    </row>
    <row r="256" spans="1:13" ht="18.75" hidden="1">
      <c r="A256" s="278"/>
      <c r="B256" s="278"/>
      <c r="C256" s="279" t="str">
        <f ca="1">IFERROR(__xludf.DUMMYFUNCTION("""COMPUTED_VALUE"""),"THLCB")</f>
        <v>THLCB</v>
      </c>
      <c r="D256" s="331">
        <f ca="1">IFERROR(__xludf.DUMMYFUNCTION("""COMPUTED_VALUE"""),45755.25)</f>
        <v>45755.25</v>
      </c>
      <c r="E256" s="278"/>
      <c r="F256" s="331">
        <f ca="1">IFERROR(__xludf.DUMMYFUNCTION("""COMPUTED_VALUE"""),45877.625)</f>
        <v>45877.625</v>
      </c>
      <c r="G256" s="331">
        <f ca="1">IFERROR(__xludf.DUMMYFUNCTION("""COMPUTED_VALUE"""),45908.625)</f>
        <v>45908.625</v>
      </c>
      <c r="H256" s="331">
        <f ca="1">IFERROR(__xludf.DUMMYFUNCTION("""COMPUTED_VALUE"""),45908.625)</f>
        <v>45908.625</v>
      </c>
      <c r="I256" s="284">
        <f ca="1">IFERROR(__xludf.DUMMYFUNCTION("""COMPUTED_VALUE"""),45938.625)</f>
        <v>45938.625</v>
      </c>
      <c r="J256" s="284">
        <f ca="1">IFERROR(__xludf.DUMMYFUNCTION("""COMPUTED_VALUE"""),45969.6666666666)</f>
        <v>45969.666666666599</v>
      </c>
      <c r="K256" s="284">
        <f ca="1">IFERROR(__xludf.DUMMYFUNCTION("""COMPUTED_VALUE"""),45999.4166666666)</f>
        <v>45999.416666666599</v>
      </c>
      <c r="L256" s="282">
        <f ca="1">IFERROR(__xludf.DUMMYFUNCTION("""COMPUTED_VALUE"""),45999.5416666666)</f>
        <v>45999.541666666599</v>
      </c>
      <c r="M256" s="278" t="str">
        <f ca="1">IFERROR(__xludf.DUMMYFUNCTION("""COMPUTED_VALUE"""),"13/08/2025 NOON")</f>
        <v>13/08/2025 NOON</v>
      </c>
    </row>
    <row r="257" spans="1:13" ht="18.75" hidden="1">
      <c r="A257" s="278" t="str">
        <f ca="1">IFERROR(__xludf.DUMMYFUNCTION("""COMPUTED_VALUE"""),"CHT")</f>
        <v>CHT</v>
      </c>
      <c r="B257" s="278" t="str">
        <f ca="1">IFERROR(__xludf.DUMMYFUNCTION("""COMPUTED_VALUE"""),"KMTC TAIPEIS V.2509N")</f>
        <v>KMTC TAIPEIS V.2509N</v>
      </c>
      <c r="C257" s="279" t="str">
        <f ca="1">IFERROR(__xludf.DUMMYFUNCTION("""COMPUTED_VALUE"""),"THBKK")</f>
        <v>THBKK</v>
      </c>
      <c r="D257" s="331">
        <f ca="1">IFERROR(__xludf.DUMMYFUNCTION("""COMPUTED_VALUE"""),45816.3333333333)</f>
        <v>45816.333333333299</v>
      </c>
      <c r="E257" s="278" t="str">
        <f ca="1">IFERROR(__xludf.DUMMYFUNCTION("""COMPUTED_VALUE"""),"32.55 07/08/2025")</f>
        <v>32.55 07/08/2025</v>
      </c>
      <c r="F257" s="331">
        <f ca="1">IFERROR(__xludf.DUMMYFUNCTION("""COMPUTED_VALUE"""),45999.625)</f>
        <v>45999.625</v>
      </c>
      <c r="G257" s="278" t="str">
        <f ca="1">IFERROR(__xludf.DUMMYFUNCTION("""COMPUTED_VALUE"""),"13/08/2025 15:00")</f>
        <v>13/08/2025 15:00</v>
      </c>
      <c r="H257" s="278" t="str">
        <f ca="1">IFERROR(__xludf.DUMMYFUNCTION("""COMPUTED_VALUE"""),"13/08/2025 15:00")</f>
        <v>13/08/2025 15:00</v>
      </c>
      <c r="I257" s="280" t="str">
        <f ca="1">IFERROR(__xludf.DUMMYFUNCTION("""COMPUTED_VALUE"""),"14/08/2025 15:00")</f>
        <v>14/08/2025 15:00</v>
      </c>
      <c r="J257" s="280" t="str">
        <f ca="1">IFERROR(__xludf.DUMMYFUNCTION("""COMPUTED_VALUE"""),"15/08/2025 16:00")</f>
        <v>15/08/2025 16:00</v>
      </c>
      <c r="K257" s="280" t="str">
        <f ca="1">IFERROR(__xludf.DUMMYFUNCTION("""COMPUTED_VALUE"""),"16/08/2025 07:00")</f>
        <v>16/08/2025 07:00</v>
      </c>
      <c r="L257" s="278" t="str">
        <f ca="1">IFERROR(__xludf.DUMMYFUNCTION("""COMPUTED_VALUE"""),"16/08/2025 07:00")</f>
        <v>16/08/2025 07:00</v>
      </c>
      <c r="M257" s="278" t="str">
        <f ca="1">IFERROR(__xludf.DUMMYFUNCTION("""COMPUTED_VALUE"""),"18/08/2025 MORNING")</f>
        <v>18/08/2025 MORNING</v>
      </c>
    </row>
    <row r="258" spans="1:13" ht="18.75" hidden="1">
      <c r="A258" s="278"/>
      <c r="B258" s="278"/>
      <c r="C258" s="279" t="str">
        <f ca="1">IFERROR(__xludf.DUMMYFUNCTION("""COMPUTED_VALUE"""),"THLCB")</f>
        <v>THLCB</v>
      </c>
      <c r="D258" s="331">
        <f ca="1">IFERROR(__xludf.DUMMYFUNCTION("""COMPUTED_VALUE"""),45846.1666666666)</f>
        <v>45846.166666666599</v>
      </c>
      <c r="E258" s="278"/>
      <c r="F258" s="331">
        <f ca="1">IFERROR(__xludf.DUMMYFUNCTION("""COMPUTED_VALUE"""),45999.625)</f>
        <v>45999.625</v>
      </c>
      <c r="G258" s="278" t="str">
        <f ca="1">IFERROR(__xludf.DUMMYFUNCTION("""COMPUTED_VALUE"""),"13/08/2025 15:00")</f>
        <v>13/08/2025 15:00</v>
      </c>
      <c r="H258" s="278" t="str">
        <f ca="1">IFERROR(__xludf.DUMMYFUNCTION("""COMPUTED_VALUE"""),"13/08/2025 15:00")</f>
        <v>13/08/2025 15:00</v>
      </c>
      <c r="I258" s="280" t="str">
        <f ca="1">IFERROR(__xludf.DUMMYFUNCTION("""COMPUTED_VALUE"""),"14/08/2025 15:00")</f>
        <v>14/08/2025 15:00</v>
      </c>
      <c r="J258" s="280" t="str">
        <f ca="1">IFERROR(__xludf.DUMMYFUNCTION("""COMPUTED_VALUE"""),"15/08/2025 16:00")</f>
        <v>15/08/2025 16:00</v>
      </c>
      <c r="K258" s="280" t="str">
        <f ca="1">IFERROR(__xludf.DUMMYFUNCTION("""COMPUTED_VALUE"""),"17/08/2025 01:00")</f>
        <v>17/08/2025 01:00</v>
      </c>
      <c r="L258" s="278" t="str">
        <f ca="1">IFERROR(__xludf.DUMMYFUNCTION("""COMPUTED_VALUE"""),"17/08/2025 03:41")</f>
        <v>17/08/2025 03:41</v>
      </c>
      <c r="M258" s="278" t="str">
        <f ca="1">IFERROR(__xludf.DUMMYFUNCTION("""COMPUTED_VALUE"""),"18/08/2025 MORNING")</f>
        <v>18/08/2025 MORNING</v>
      </c>
    </row>
    <row r="259" spans="1:13" ht="18.75" hidden="1">
      <c r="A259" s="278" t="str">
        <f ca="1">IFERROR(__xludf.DUMMYFUNCTION("""COMPUTED_VALUE"""),"CVT")</f>
        <v>CVT</v>
      </c>
      <c r="B259" s="278" t="str">
        <f ca="1">IFERROR(__xludf.DUMMYFUNCTION("""COMPUTED_VALUE"""),"TS QINGDAO V.25011N")</f>
        <v>TS QINGDAO V.25011N</v>
      </c>
      <c r="C259" s="279" t="str">
        <f ca="1">IFERROR(__xludf.DUMMYFUNCTION("""COMPUTED_VALUE"""),"THBKK")</f>
        <v>THBKK</v>
      </c>
      <c r="D259" s="278" t="str">
        <f ca="1">IFERROR(__xludf.DUMMYFUNCTION("""COMPUTED_VALUE"""),"14/08/2025 08:00")</f>
        <v>14/08/2025 08:00</v>
      </c>
      <c r="E259" s="278" t="str">
        <f ca="1">IFERROR(__xludf.DUMMYFUNCTION("""COMPUTED_VALUE"""),"32.55 07/08/2025")</f>
        <v>32.55 07/08/2025</v>
      </c>
      <c r="F259" s="331">
        <f ca="1">IFERROR(__xludf.DUMMYFUNCTION("""COMPUTED_VALUE"""),45999.625)</f>
        <v>45999.625</v>
      </c>
      <c r="G259" s="278" t="str">
        <f ca="1">IFERROR(__xludf.DUMMYFUNCTION("""COMPUTED_VALUE"""),"13/08/2025 15:00")</f>
        <v>13/08/2025 15:00</v>
      </c>
      <c r="H259" s="278" t="str">
        <f ca="1">IFERROR(__xludf.DUMMYFUNCTION("""COMPUTED_VALUE"""),"13/08/2025 15:00")</f>
        <v>13/08/2025 15:00</v>
      </c>
      <c r="I259" s="280" t="str">
        <f ca="1">IFERROR(__xludf.DUMMYFUNCTION("""COMPUTED_VALUE"""),"14/08/2025 15:00")</f>
        <v>14/08/2025 15:00</v>
      </c>
      <c r="J259" s="280" t="str">
        <f ca="1">IFERROR(__xludf.DUMMYFUNCTION("""COMPUTED_VALUE"""),"15/08/2025 16:00")</f>
        <v>15/08/2025 16:00</v>
      </c>
      <c r="K259" s="280" t="str">
        <f ca="1">IFERROR(__xludf.DUMMYFUNCTION("""COMPUTED_VALUE"""),"16/08/2025 18:00")</f>
        <v>16/08/2025 18:00</v>
      </c>
      <c r="L259" s="278" t="str">
        <f ca="1">IFERROR(__xludf.DUMMYFUNCTION("""COMPUTED_VALUE"""),"16/08/2025 17:30")</f>
        <v>16/08/2025 17:30</v>
      </c>
      <c r="M259" s="278" t="str">
        <f ca="1">IFERROR(__xludf.DUMMYFUNCTION("""COMPUTED_VALUE"""),"18/08/2025 MORNING")</f>
        <v>18/08/2025 MORNING</v>
      </c>
    </row>
    <row r="260" spans="1:13" ht="18.75" hidden="1">
      <c r="A260" s="278"/>
      <c r="B260" s="278"/>
      <c r="C260" s="279" t="str">
        <f ca="1">IFERROR(__xludf.DUMMYFUNCTION("""COMPUTED_VALUE"""),"THLCB")</f>
        <v>THLCB</v>
      </c>
      <c r="D260" s="278" t="str">
        <f ca="1">IFERROR(__xludf.DUMMYFUNCTION("""COMPUTED_VALUE"""),"15/08/2025 04:00")</f>
        <v>15/08/2025 04:00</v>
      </c>
      <c r="E260" s="278"/>
      <c r="F260" s="278" t="str">
        <f ca="1">IFERROR(__xludf.DUMMYFUNCTION("""COMPUTED_VALUE"""),"13/08/2025 15:00")</f>
        <v>13/08/2025 15:00</v>
      </c>
      <c r="G260" s="278" t="str">
        <f ca="1">IFERROR(__xludf.DUMMYFUNCTION("""COMPUTED_VALUE"""),"14/08/2025 15:00")</f>
        <v>14/08/2025 15:00</v>
      </c>
      <c r="H260" s="278" t="str">
        <f ca="1">IFERROR(__xludf.DUMMYFUNCTION("""COMPUTED_VALUE"""),"14/08/2025 15:00")</f>
        <v>14/08/2025 15:00</v>
      </c>
      <c r="I260" s="280" t="str">
        <f ca="1">IFERROR(__xludf.DUMMYFUNCTION("""COMPUTED_VALUE"""),"15/08/2025 15:00")</f>
        <v>15/08/2025 15:00</v>
      </c>
      <c r="J260" s="280" t="str">
        <f ca="1">IFERROR(__xludf.DUMMYFUNCTION("""COMPUTED_VALUE"""),"16/08/2025 16:00")</f>
        <v>16/08/2025 16:00</v>
      </c>
      <c r="K260" s="280" t="str">
        <f ca="1">IFERROR(__xludf.DUMMYFUNCTION("""COMPUTED_VALUE"""),"17/08/2025 13:00")</f>
        <v>17/08/2025 13:00</v>
      </c>
      <c r="L260" s="278" t="str">
        <f ca="1">IFERROR(__xludf.DUMMYFUNCTION("""COMPUTED_VALUE"""),"17/08/2025 12:00")</f>
        <v>17/08/2025 12:00</v>
      </c>
      <c r="M260" s="278" t="str">
        <f ca="1">IFERROR(__xludf.DUMMYFUNCTION("""COMPUTED_VALUE"""),"18/08/2025 MORNING")</f>
        <v>18/08/2025 MORNING</v>
      </c>
    </row>
    <row r="261" spans="1:13" ht="18.75" hidden="1">
      <c r="A261" s="278" t="str">
        <f ca="1">IFERROR(__xludf.DUMMYFUNCTION("""COMPUTED_VALUE"""),"JTX")</f>
        <v>JTX</v>
      </c>
      <c r="B261" s="278" t="str">
        <f ca="1">IFERROR(__xludf.DUMMYFUNCTION("""COMPUTED_VALUE"""),"TS NAGOYA V.25013N")</f>
        <v>TS NAGOYA V.25013N</v>
      </c>
      <c r="C261" s="279" t="str">
        <f ca="1">IFERROR(__xludf.DUMMYFUNCTION("""COMPUTED_VALUE"""),"THLCB")</f>
        <v>THLCB</v>
      </c>
      <c r="D261" s="278" t="str">
        <f ca="1">IFERROR(__xludf.DUMMYFUNCTION("""COMPUTED_VALUE"""),"15/08/2025 22:00")</f>
        <v>15/08/2025 22:00</v>
      </c>
      <c r="E261" s="278" t="str">
        <f ca="1">IFERROR(__xludf.DUMMYFUNCTION("""COMPUTED_VALUE"""),"32.58 08/08/2025")</f>
        <v>32.58 08/08/2025</v>
      </c>
      <c r="F261" s="278" t="str">
        <f ca="1">IFERROR(__xludf.DUMMYFUNCTION("""COMPUTED_VALUE"""),"15/08/2025 15:00")</f>
        <v>15/08/2025 15:00</v>
      </c>
      <c r="G261" s="278" t="str">
        <f ca="1">IFERROR(__xludf.DUMMYFUNCTION("""COMPUTED_VALUE"""),"16/08/2025 15:00")</f>
        <v>16/08/2025 15:00</v>
      </c>
      <c r="H261" s="278" t="str">
        <f ca="1">IFERROR(__xludf.DUMMYFUNCTION("""COMPUTED_VALUE"""),"16/08/2025 15:00")</f>
        <v>16/08/2025 15:00</v>
      </c>
      <c r="I261" s="280" t="str">
        <f ca="1">IFERROR(__xludf.DUMMYFUNCTION("""COMPUTED_VALUE"""),"17/08/2025 15:00")</f>
        <v>17/08/2025 15:00</v>
      </c>
      <c r="J261" s="280" t="str">
        <f ca="1">IFERROR(__xludf.DUMMYFUNCTION("""COMPUTED_VALUE"""),"18/08/2025 16:00")</f>
        <v>18/08/2025 16:00</v>
      </c>
      <c r="K261" s="280" t="str">
        <f ca="1">IFERROR(__xludf.DUMMYFUNCTION("""COMPUTED_VALUE"""),"19/08/2025 04:00")</f>
        <v>19/08/2025 04:00</v>
      </c>
      <c r="L261" s="278" t="str">
        <f ca="1">IFERROR(__xludf.DUMMYFUNCTION("""COMPUTED_VALUE"""),"19/08/2025 06:00")</f>
        <v>19/08/2025 06:00</v>
      </c>
      <c r="M261" s="278" t="str">
        <f ca="1">IFERROR(__xludf.DUMMYFUNCTION("""COMPUTED_VALUE"""),"19/08/2025 NOON")</f>
        <v>19/08/2025 NOON</v>
      </c>
    </row>
    <row r="262" spans="1:13" ht="18.75" hidden="1">
      <c r="A262" s="278"/>
      <c r="B262" s="278"/>
      <c r="C262" s="279"/>
      <c r="D262" s="278"/>
      <c r="E262" s="278"/>
      <c r="F262" s="278"/>
      <c r="G262" s="278"/>
      <c r="H262" s="278"/>
      <c r="I262" s="280"/>
      <c r="J262" s="280"/>
      <c r="K262" s="280"/>
      <c r="L262" s="278"/>
      <c r="M262" s="278"/>
    </row>
    <row r="263" spans="1:13" ht="18.75" hidden="1">
      <c r="A263" s="278"/>
      <c r="B263" s="278" t="str">
        <f ca="1">IFERROR(__xludf.DUMMYFUNCTION("""COMPUTED_VALUE"""),"WEEK 32/2025")</f>
        <v>WEEK 32/2025</v>
      </c>
      <c r="C263" s="279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263" s="278"/>
      <c r="E263" s="278"/>
      <c r="F263" s="278"/>
      <c r="G263" s="278"/>
      <c r="H263" s="278"/>
      <c r="I263" s="280"/>
      <c r="J263" s="280"/>
      <c r="K263" s="280"/>
      <c r="L263" s="278"/>
      <c r="M263" s="278"/>
    </row>
    <row r="264" spans="1:13" ht="18.75" hidden="1">
      <c r="A264" s="278"/>
      <c r="B264" s="278"/>
      <c r="C264" s="279" t="str">
        <f ca="1">IFERROR(__xludf.DUMMYFUNCTION("""COMPUTED_VALUE"""),"(AUG 2025 shipment) LDOC THB1450/SLC THB300")</f>
        <v>(AUG 2025 shipment) LDOC THB1450/SLC THB300</v>
      </c>
      <c r="D264" s="278"/>
      <c r="E264" s="278"/>
      <c r="F264" s="278"/>
      <c r="G264" s="278"/>
      <c r="H264" s="278"/>
      <c r="I264" s="280"/>
      <c r="J264" s="280"/>
      <c r="K264" s="280"/>
      <c r="L264" s="278"/>
      <c r="M264" s="278"/>
    </row>
    <row r="265" spans="1:13" ht="18.75" hidden="1">
      <c r="A265" s="278" t="str">
        <f ca="1">IFERROR(__xludf.DUMMYFUNCTION("""COMPUTED_VALUE"""),"SERVICE")</f>
        <v>SERVICE</v>
      </c>
      <c r="B265" s="278" t="str">
        <f ca="1">IFERROR(__xludf.DUMMYFUNCTION("""COMPUTED_VALUE"""),"VESSEL NAME")</f>
        <v>VESSEL NAME</v>
      </c>
      <c r="C265" s="279" t="str">
        <f ca="1">IFERROR(__xludf.DUMMYFUNCTION("""COMPUTED_VALUE"""),"PORT")</f>
        <v>PORT</v>
      </c>
      <c r="D265" s="278" t="str">
        <f ca="1">IFERROR(__xludf.DUMMYFUNCTION("""COMPUTED_VALUE"""),"PERFOMA ETD")</f>
        <v>PERFOMA ETD</v>
      </c>
      <c r="E265" s="278" t="str">
        <f ca="1">IFERROR(__xludf.DUMMYFUNCTION("""COMPUTED_VALUE"""),"EX.RATE/DATE/")</f>
        <v>EX.RATE/DATE/</v>
      </c>
      <c r="F265" s="278" t="str">
        <f ca="1">IFERROR(__xludf.DUMMYFUNCTION("""COMPUTED_VALUE"""),"SI CUT OFF USA,MX")</f>
        <v>SI CUT OFF USA,MX</v>
      </c>
      <c r="G265" s="278" t="str">
        <f ca="1">IFERROR(__xludf.DUMMYFUNCTION("""COMPUTED_VALUE"""),"SI CUT OFF")</f>
        <v>SI CUT OFF</v>
      </c>
      <c r="H265" s="278" t="str">
        <f ca="1">IFERROR(__xludf.DUMMYFUNCTION("""COMPUTED_VALUE"""),"B/L CFM USA,MX")</f>
        <v>B/L CFM USA,MX</v>
      </c>
      <c r="I265" s="280" t="str">
        <f ca="1">IFERROR(__xludf.DUMMYFUNCTION("""COMPUTED_VALUE"""),"B/L CFM CHINA,JP,VN")</f>
        <v>B/L CFM CHINA,JP,VN</v>
      </c>
      <c r="J265" s="280" t="str">
        <f ca="1">IFERROR(__xludf.DUMMYFUNCTION("""COMPUTED_VALUE"""),"B/L CONFIRM")</f>
        <v>B/L CONFIRM</v>
      </c>
      <c r="K265" s="280" t="str">
        <f ca="1">IFERROR(__xludf.DUMMYFUNCTION("""COMPUTED_VALUE"""),"ETD")</f>
        <v>ETD</v>
      </c>
      <c r="L265" s="278" t="str">
        <f ca="1">IFERROR(__xludf.DUMMYFUNCTION("""COMPUTED_VALUE"""),"ATD")</f>
        <v>ATD</v>
      </c>
      <c r="M265" s="278" t="str">
        <f ca="1">IFERROR(__xludf.DUMMYFUNCTION("""COMPUTED_VALUE"""),"B/L ISSUED DATE")</f>
        <v>B/L ISSUED DATE</v>
      </c>
    </row>
    <row r="266" spans="1:13" ht="18.75" hidden="1">
      <c r="A266" s="278"/>
      <c r="B266" s="278"/>
      <c r="C266" s="279"/>
      <c r="D266" s="278"/>
      <c r="E266" s="278" t="str">
        <f ca="1">IFERROR(__xludf.DUMMYFUNCTION("""COMPUTED_VALUE"""),"BANGKOK BANK")</f>
        <v>BANGKOK BANK</v>
      </c>
      <c r="F266" s="278" t="str">
        <f ca="1">IFERROR(__xludf.DUMMYFUNCTION("""COMPUTED_VALUE"""),"4 days before ETD")</f>
        <v>4 days before ETD</v>
      </c>
      <c r="G266" s="278"/>
      <c r="H266" s="278" t="str">
        <f ca="1">IFERROR(__xludf.DUMMYFUNCTION("""COMPUTED_VALUE"""),"3 days before ETD")</f>
        <v>3 days before ETD</v>
      </c>
      <c r="I266" s="280" t="str">
        <f ca="1">IFERROR(__xludf.DUMMYFUNCTION("""COMPUTED_VALUE"""),"Direct port CUT OFF")</f>
        <v>Direct port CUT OFF</v>
      </c>
      <c r="J266" s="280" t="str">
        <f ca="1">IFERROR(__xludf.DUMMYFUNCTION("""COMPUTED_VALUE"""),"Orther port CUT OFF")</f>
        <v>Orther port CUT OFF</v>
      </c>
      <c r="K266" s="280" t="str">
        <f ca="1">IFERROR(__xludf.DUMMYFUNCTION("""COMPUTED_VALUE"""),"ON BOARD DATE")</f>
        <v>ON BOARD DATE</v>
      </c>
      <c r="L266" s="278" t="str">
        <f ca="1">IFERROR(__xludf.DUMMYFUNCTION("""COMPUTED_VALUE"""),"วันเรือออกจริง")</f>
        <v>วันเรือออกจริง</v>
      </c>
      <c r="M266" s="278" t="str">
        <f ca="1">IFERROR(__xludf.DUMMYFUNCTION("""COMPUTED_VALUE"""),"วันปล่อยบีแอล")</f>
        <v>วันปล่อยบีแอล</v>
      </c>
    </row>
    <row r="267" spans="1:13" ht="18.75" hidden="1">
      <c r="A267" s="278"/>
      <c r="B267" s="278"/>
      <c r="C267" s="279"/>
      <c r="D267" s="278"/>
      <c r="E267" s="278"/>
      <c r="F267" s="278"/>
      <c r="G267" s="278" t="str">
        <f ca="1">IFERROR(__xludf.DUMMYFUNCTION("""COMPUTED_VALUE"""),"3 days before ETD")</f>
        <v>3 days before ETD</v>
      </c>
      <c r="H267" s="278"/>
      <c r="I267" s="280" t="str">
        <f ca="1">IFERROR(__xludf.DUMMYFUNCTION("""COMPUTED_VALUE"""),"2 days before ETD")</f>
        <v>2 days before ETD</v>
      </c>
      <c r="J267" s="280" t="str">
        <f ca="1">IFERROR(__xludf.DUMMYFUNCTION("""COMPUTED_VALUE"""),"1 days before ETD")</f>
        <v>1 days before ETD</v>
      </c>
      <c r="K267" s="280" t="str">
        <f ca="1">IFERROR(__xludf.DUMMYFUNCTION("""COMPUTED_VALUE"""),"SHOW ON B/L")</f>
        <v>SHOW ON B/L</v>
      </c>
      <c r="L267" s="278"/>
      <c r="M267" s="278"/>
    </row>
    <row r="268" spans="1:13" ht="18.75" hidden="1">
      <c r="A268" s="278" t="str">
        <f ca="1">IFERROR(__xludf.DUMMYFUNCTION("""COMPUTED_VALUE"""),"CHT")</f>
        <v>CHT</v>
      </c>
      <c r="B268" s="278" t="str">
        <f ca="1">IFERROR(__xludf.DUMMYFUNCTION("""COMPUTED_VALUE"""),"TS TIANJIN V.25008N")</f>
        <v>TS TIANJIN V.25008N</v>
      </c>
      <c r="C268" s="279" t="str">
        <f ca="1">IFERROR(__xludf.DUMMYFUNCTION("""COMPUTED_VALUE"""),"THBKK")</f>
        <v>THBKK</v>
      </c>
      <c r="D268" s="341">
        <f ca="1">IFERROR(__xludf.DUMMYFUNCTION("""COMPUTED_VALUE"""),45816.3333333333)</f>
        <v>45816.333333333299</v>
      </c>
      <c r="E268" s="278" t="str">
        <f ca="1">IFERROR(__xludf.DUMMYFUNCTION("""COMPUTED_VALUE"""),"33.03 01/08/2025")</f>
        <v>33.03 01/08/2025</v>
      </c>
      <c r="F268" s="341">
        <f ca="1">IFERROR(__xludf.DUMMYFUNCTION("""COMPUTED_VALUE"""),45785.625)</f>
        <v>45785.625</v>
      </c>
      <c r="G268" s="341">
        <f ca="1">IFERROR(__xludf.DUMMYFUNCTION("""COMPUTED_VALUE"""),45816.625)</f>
        <v>45816.625</v>
      </c>
      <c r="H268" s="341">
        <f ca="1">IFERROR(__xludf.DUMMYFUNCTION("""COMPUTED_VALUE"""),45816.625)</f>
        <v>45816.625</v>
      </c>
      <c r="I268" s="285">
        <f ca="1">IFERROR(__xludf.DUMMYFUNCTION("""COMPUTED_VALUE"""),45846.625)</f>
        <v>45846.625</v>
      </c>
      <c r="J268" s="285">
        <f ca="1">IFERROR(__xludf.DUMMYFUNCTION("""COMPUTED_VALUE"""),45877.6666666666)</f>
        <v>45877.666666666599</v>
      </c>
      <c r="K268" s="285">
        <f ca="1">IFERROR(__xludf.DUMMYFUNCTION("""COMPUTED_VALUE"""),45938.7083333333)</f>
        <v>45938.708333333299</v>
      </c>
      <c r="L268" s="282">
        <f ca="1">IFERROR(__xludf.DUMMYFUNCTION("""COMPUTED_VALUE"""),45938.7083333333)</f>
        <v>45938.708333333299</v>
      </c>
      <c r="M268" s="278" t="str">
        <f ca="1">IFERROR(__xludf.DUMMYFUNCTION("""COMPUTED_VALUE"""),"11/08/2025 MORNING")</f>
        <v>11/08/2025 MORNING</v>
      </c>
    </row>
    <row r="269" spans="1:13" ht="18.75" hidden="1">
      <c r="A269" s="278"/>
      <c r="B269" s="278"/>
      <c r="C269" s="279" t="str">
        <f ca="1">IFERROR(__xludf.DUMMYFUNCTION("""COMPUTED_VALUE"""),"THLCB")</f>
        <v>THLCB</v>
      </c>
      <c r="D269" s="341">
        <f ca="1">IFERROR(__xludf.DUMMYFUNCTION("""COMPUTED_VALUE"""),45846.1666666666)</f>
        <v>45846.166666666599</v>
      </c>
      <c r="E269" s="278"/>
      <c r="F269" s="341">
        <f ca="1">IFERROR(__xludf.DUMMYFUNCTION("""COMPUTED_VALUE"""),45877.625)</f>
        <v>45877.625</v>
      </c>
      <c r="G269" s="341">
        <f ca="1">IFERROR(__xludf.DUMMYFUNCTION("""COMPUTED_VALUE"""),45908.625)</f>
        <v>45908.625</v>
      </c>
      <c r="H269" s="341">
        <f ca="1">IFERROR(__xludf.DUMMYFUNCTION("""COMPUTED_VALUE"""),45908.625)</f>
        <v>45908.625</v>
      </c>
      <c r="I269" s="285">
        <f ca="1">IFERROR(__xludf.DUMMYFUNCTION("""COMPUTED_VALUE"""),45938.625)</f>
        <v>45938.625</v>
      </c>
      <c r="J269" s="285">
        <f ca="1">IFERROR(__xludf.DUMMYFUNCTION("""COMPUTED_VALUE"""),45969.6666666666)</f>
        <v>45969.666666666599</v>
      </c>
      <c r="K269" s="285">
        <f ca="1">IFERROR(__xludf.DUMMYFUNCTION("""COMPUTED_VALUE"""),45999.375)</f>
        <v>45999.375</v>
      </c>
      <c r="L269" s="282">
        <f ca="1">IFERROR(__xludf.DUMMYFUNCTION("""COMPUTED_VALUE"""),45999.375)</f>
        <v>45999.375</v>
      </c>
      <c r="M269" s="278" t="str">
        <f ca="1">IFERROR(__xludf.DUMMYFUNCTION("""COMPUTED_VALUE"""),"13/08/2025 MORNING")</f>
        <v>13/08/2025 MORNING</v>
      </c>
    </row>
    <row r="270" spans="1:13" ht="18.75" hidden="1">
      <c r="A270" s="278" t="str">
        <f ca="1">IFERROR(__xludf.DUMMYFUNCTION("""COMPUTED_VALUE"""),"CVT")</f>
        <v>CVT</v>
      </c>
      <c r="B270" s="278" t="str">
        <f ca="1">IFERROR(__xludf.DUMMYFUNCTION("""COMPUTED_VALUE"""),"KMTC POHANG V.2509N")</f>
        <v>KMTC POHANG V.2509N</v>
      </c>
      <c r="C270" s="279" t="str">
        <f ca="1">IFERROR(__xludf.DUMMYFUNCTION("""COMPUTED_VALUE"""),"THBKK")</f>
        <v>THBKK</v>
      </c>
      <c r="D270" s="341">
        <f ca="1">IFERROR(__xludf.DUMMYFUNCTION("""COMPUTED_VALUE"""),45846.3333333333)</f>
        <v>45846.333333333299</v>
      </c>
      <c r="E270" s="278" t="str">
        <f ca="1">IFERROR(__xludf.DUMMYFUNCTION("""COMPUTED_VALUE"""),"32.9 31/07/2025")</f>
        <v>32.9 31/07/2025</v>
      </c>
      <c r="F270" s="341">
        <f ca="1">IFERROR(__xludf.DUMMYFUNCTION("""COMPUTED_VALUE"""),45785.625)</f>
        <v>45785.625</v>
      </c>
      <c r="G270" s="341">
        <f ca="1">IFERROR(__xludf.DUMMYFUNCTION("""COMPUTED_VALUE"""),45816.625)</f>
        <v>45816.625</v>
      </c>
      <c r="H270" s="341">
        <f ca="1">IFERROR(__xludf.DUMMYFUNCTION("""COMPUTED_VALUE"""),45816.625)</f>
        <v>45816.625</v>
      </c>
      <c r="I270" s="285">
        <f ca="1">IFERROR(__xludf.DUMMYFUNCTION("""COMPUTED_VALUE"""),45846.625)</f>
        <v>45846.625</v>
      </c>
      <c r="J270" s="285">
        <f ca="1">IFERROR(__xludf.DUMMYFUNCTION("""COMPUTED_VALUE"""),45877.6666666666)</f>
        <v>45877.666666666599</v>
      </c>
      <c r="K270" s="285">
        <f ca="1">IFERROR(__xludf.DUMMYFUNCTION("""COMPUTED_VALUE"""),45908.625)</f>
        <v>45908.625</v>
      </c>
      <c r="L270" s="282">
        <f ca="1">IFERROR(__xludf.DUMMYFUNCTION("""COMPUTED_VALUE"""),45908.625)</f>
        <v>45908.625</v>
      </c>
      <c r="M270" s="278" t="str">
        <f ca="1">IFERROR(__xludf.DUMMYFUNCTION("""COMPUTED_VALUE"""),"11/08/2025 MORNING")</f>
        <v>11/08/2025 MORNING</v>
      </c>
    </row>
    <row r="271" spans="1:13" ht="18.75" hidden="1">
      <c r="A271" s="278"/>
      <c r="B271" s="278"/>
      <c r="C271" s="279" t="str">
        <f ca="1">IFERROR(__xludf.DUMMYFUNCTION("""COMPUTED_VALUE"""),"THLCB")</f>
        <v>THLCB</v>
      </c>
      <c r="D271" s="341">
        <f ca="1">IFERROR(__xludf.DUMMYFUNCTION("""COMPUTED_VALUE"""),45908.1666666666)</f>
        <v>45908.166666666599</v>
      </c>
      <c r="E271" s="278"/>
      <c r="F271" s="341">
        <f ca="1">IFERROR(__xludf.DUMMYFUNCTION("""COMPUTED_VALUE"""),45846.625)</f>
        <v>45846.625</v>
      </c>
      <c r="G271" s="341">
        <f ca="1">IFERROR(__xludf.DUMMYFUNCTION("""COMPUTED_VALUE"""),45877.625)</f>
        <v>45877.625</v>
      </c>
      <c r="H271" s="341">
        <f ca="1">IFERROR(__xludf.DUMMYFUNCTION("""COMPUTED_VALUE"""),45877.625)</f>
        <v>45877.625</v>
      </c>
      <c r="I271" s="285">
        <f ca="1">IFERROR(__xludf.DUMMYFUNCTION("""COMPUTED_VALUE"""),45908.625)</f>
        <v>45908.625</v>
      </c>
      <c r="J271" s="285">
        <f ca="1">IFERROR(__xludf.DUMMYFUNCTION("""COMPUTED_VALUE"""),45938.6666666666)</f>
        <v>45938.666666666599</v>
      </c>
      <c r="K271" s="285">
        <f ca="1">IFERROR(__xludf.DUMMYFUNCTION("""COMPUTED_VALUE"""),45969.75)</f>
        <v>45969.75</v>
      </c>
      <c r="L271" s="282">
        <f ca="1">IFERROR(__xludf.DUMMYFUNCTION("""COMPUTED_VALUE"""),45999.0833333333)</f>
        <v>45999.083333333299</v>
      </c>
      <c r="M271" s="278" t="str">
        <f ca="1">IFERROR(__xludf.DUMMYFUNCTION("""COMPUTED_VALUE"""),"13/08/2025 MORNING")</f>
        <v>13/08/2025 MORNING</v>
      </c>
    </row>
    <row r="272" spans="1:13" ht="18.75" hidden="1">
      <c r="A272" s="278" t="str">
        <f ca="1">IFERROR(__xludf.DUMMYFUNCTION("""COMPUTED_VALUE"""),"JTX")</f>
        <v>JTX</v>
      </c>
      <c r="B272" s="278" t="str">
        <f ca="1">IFERROR(__xludf.DUMMYFUNCTION("""COMPUTED_VALUE"""),"CNC JAWA V.0QILEN")</f>
        <v>CNC JAWA V.0QILEN</v>
      </c>
      <c r="C272" s="279" t="str">
        <f ca="1">IFERROR(__xludf.DUMMYFUNCTION("""COMPUTED_VALUE"""),"THLCB")</f>
        <v>THLCB</v>
      </c>
      <c r="D272" s="341">
        <f ca="1">IFERROR(__xludf.DUMMYFUNCTION("""COMPUTED_VALUE"""),45877.9166666666)</f>
        <v>45877.916666666599</v>
      </c>
      <c r="E272" s="278" t="str">
        <f ca="1">IFERROR(__xludf.DUMMYFUNCTION("""COMPUTED_VALUE"""),"33.03 01/08/2025")</f>
        <v>33.03 01/08/2025</v>
      </c>
      <c r="F272" s="341">
        <f ca="1">IFERROR(__xludf.DUMMYFUNCTION("""COMPUTED_VALUE"""),45785.625)</f>
        <v>45785.625</v>
      </c>
      <c r="G272" s="341">
        <f ca="1">IFERROR(__xludf.DUMMYFUNCTION("""COMPUTED_VALUE"""),45816.625)</f>
        <v>45816.625</v>
      </c>
      <c r="H272" s="341">
        <f ca="1">IFERROR(__xludf.DUMMYFUNCTION("""COMPUTED_VALUE"""),45816.625)</f>
        <v>45816.625</v>
      </c>
      <c r="I272" s="285">
        <f ca="1">IFERROR(__xludf.DUMMYFUNCTION("""COMPUTED_VALUE"""),45846.625)</f>
        <v>45846.625</v>
      </c>
      <c r="J272" s="285">
        <f ca="1">IFERROR(__xludf.DUMMYFUNCTION("""COMPUTED_VALUE"""),45877.6666666666)</f>
        <v>45877.666666666599</v>
      </c>
      <c r="K272" s="285">
        <f ca="1">IFERROR(__xludf.DUMMYFUNCTION("""COMPUTED_VALUE"""),45938.125)</f>
        <v>45938.125</v>
      </c>
      <c r="L272" s="282">
        <f ca="1">IFERROR(__xludf.DUMMYFUNCTION("""COMPUTED_VALUE"""),45938.375)</f>
        <v>45938.375</v>
      </c>
      <c r="M272" s="278" t="str">
        <f ca="1">IFERROR(__xludf.DUMMYFUNCTION("""COMPUTED_VALUE"""),"11/08/2025 MORNING")</f>
        <v>11/08/2025 MORNING</v>
      </c>
    </row>
    <row r="273" spans="1:13" ht="18.75" hidden="1">
      <c r="A273" s="278"/>
      <c r="B273" s="278"/>
      <c r="C273" s="279"/>
      <c r="D273" s="278"/>
      <c r="E273" s="278"/>
      <c r="F273" s="278"/>
      <c r="G273" s="278"/>
      <c r="H273" s="278"/>
      <c r="I273" s="280"/>
      <c r="J273" s="280"/>
      <c r="K273" s="280"/>
      <c r="L273" s="278"/>
      <c r="M273" s="278"/>
    </row>
    <row r="274" spans="1:13" ht="18.75" hidden="1">
      <c r="A274" s="278"/>
      <c r="B274" s="278"/>
      <c r="C274" s="279"/>
      <c r="D274" s="278"/>
      <c r="E274" s="278"/>
      <c r="F274" s="278"/>
      <c r="G274" s="278"/>
      <c r="H274" s="278"/>
      <c r="I274" s="280"/>
      <c r="J274" s="280"/>
      <c r="K274" s="280"/>
      <c r="L274" s="278"/>
      <c r="M274" s="278"/>
    </row>
    <row r="275" spans="1:13" ht="18.75" hidden="1">
      <c r="A275" s="278"/>
      <c r="B275" s="278" t="str">
        <f ca="1">IFERROR(__xludf.DUMMYFUNCTION("""COMPUTED_VALUE"""),"WEEK 31/2025")</f>
        <v>WEEK 31/2025</v>
      </c>
      <c r="C275" s="279" t="str">
        <f ca="1">IFERROR(__xludf.DUMMYFUNCTION("""COMPUTED_VALUE"""),"28 JULY 2025 Holidays King Vajiralongkorn's Birthday")</f>
        <v>28 JULY 2025 Holidays King Vajiralongkorn's Birthday</v>
      </c>
      <c r="D275" s="278"/>
      <c r="E275" s="278"/>
      <c r="F275" s="278"/>
      <c r="G275" s="278"/>
      <c r="H275" s="278"/>
      <c r="I275" s="280" t="str">
        <f ca="1">IFERROR(__xludf.DUMMYFUNCTION("""COMPUTED_VALUE"""),"(AUG 2025 shipment) LDOC THB1450/SLC THB300")</f>
        <v>(AUG 2025 shipment) LDOC THB1450/SLC THB300</v>
      </c>
      <c r="J275" s="280"/>
      <c r="K275" s="280"/>
      <c r="L275" s="278"/>
      <c r="M275" s="278"/>
    </row>
    <row r="276" spans="1:13" ht="18.75" hidden="1">
      <c r="A276" s="278"/>
      <c r="B276" s="278"/>
      <c r="C276" s="279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276" s="278"/>
      <c r="E276" s="278"/>
      <c r="F276" s="278"/>
      <c r="G276" s="278"/>
      <c r="H276" s="278"/>
      <c r="I276" s="280"/>
      <c r="J276" s="280"/>
      <c r="K276" s="280"/>
      <c r="L276" s="278"/>
      <c r="M276" s="278"/>
    </row>
    <row r="277" spans="1:13" ht="18.75" hidden="1">
      <c r="A277" s="278" t="str">
        <f ca="1">IFERROR(__xludf.DUMMYFUNCTION("""COMPUTED_VALUE"""),"SERVICE")</f>
        <v>SERVICE</v>
      </c>
      <c r="B277" s="278" t="str">
        <f ca="1">IFERROR(__xludf.DUMMYFUNCTION("""COMPUTED_VALUE"""),"VESSEL NAME")</f>
        <v>VESSEL NAME</v>
      </c>
      <c r="C277" s="279" t="str">
        <f ca="1">IFERROR(__xludf.DUMMYFUNCTION("""COMPUTED_VALUE"""),"PORT")</f>
        <v>PORT</v>
      </c>
      <c r="D277" s="278" t="str">
        <f ca="1">IFERROR(__xludf.DUMMYFUNCTION("""COMPUTED_VALUE"""),"PERFOMA ETD")</f>
        <v>PERFOMA ETD</v>
      </c>
      <c r="E277" s="278" t="str">
        <f ca="1">IFERROR(__xludf.DUMMYFUNCTION("""COMPUTED_VALUE"""),"EX.RATE/DATE/")</f>
        <v>EX.RATE/DATE/</v>
      </c>
      <c r="F277" s="278" t="str">
        <f ca="1">IFERROR(__xludf.DUMMYFUNCTION("""COMPUTED_VALUE"""),"SI CUT OFF USA")</f>
        <v>SI CUT OFF USA</v>
      </c>
      <c r="G277" s="278" t="str">
        <f ca="1">IFERROR(__xludf.DUMMYFUNCTION("""COMPUTED_VALUE"""),"SI CUT OFF")</f>
        <v>SI CUT OFF</v>
      </c>
      <c r="H277" s="278" t="str">
        <f ca="1">IFERROR(__xludf.DUMMYFUNCTION("""COMPUTED_VALUE"""),"B/L CFM USA")</f>
        <v>B/L CFM USA</v>
      </c>
      <c r="I277" s="280" t="str">
        <f ca="1">IFERROR(__xludf.DUMMYFUNCTION("""COMPUTED_VALUE"""),"B/L CFM CHINA,JP,VN")</f>
        <v>B/L CFM CHINA,JP,VN</v>
      </c>
      <c r="J277" s="280" t="str">
        <f ca="1">IFERROR(__xludf.DUMMYFUNCTION("""COMPUTED_VALUE"""),"B/L CONFIRM")</f>
        <v>B/L CONFIRM</v>
      </c>
      <c r="K277" s="280" t="str">
        <f ca="1">IFERROR(__xludf.DUMMYFUNCTION("""COMPUTED_VALUE"""),"ETD")</f>
        <v>ETD</v>
      </c>
      <c r="L277" s="278" t="str">
        <f ca="1">IFERROR(__xludf.DUMMYFUNCTION("""COMPUTED_VALUE"""),"ATD")</f>
        <v>ATD</v>
      </c>
      <c r="M277" s="278" t="str">
        <f ca="1">IFERROR(__xludf.DUMMYFUNCTION("""COMPUTED_VALUE"""),"B/L ISSUED DATE")</f>
        <v>B/L ISSUED DATE</v>
      </c>
    </row>
    <row r="278" spans="1:13" ht="18.75" hidden="1">
      <c r="A278" s="278"/>
      <c r="B278" s="278"/>
      <c r="C278" s="279"/>
      <c r="D278" s="278"/>
      <c r="E278" s="278" t="str">
        <f ca="1">IFERROR(__xludf.DUMMYFUNCTION("""COMPUTED_VALUE"""),"BANGKOK BANK")</f>
        <v>BANGKOK BANK</v>
      </c>
      <c r="F278" s="278" t="str">
        <f ca="1">IFERROR(__xludf.DUMMYFUNCTION("""COMPUTED_VALUE"""),"4 days before ETD")</f>
        <v>4 days before ETD</v>
      </c>
      <c r="G278" s="278"/>
      <c r="H278" s="278" t="str">
        <f ca="1">IFERROR(__xludf.DUMMYFUNCTION("""COMPUTED_VALUE"""),"3 days before ETD")</f>
        <v>3 days before ETD</v>
      </c>
      <c r="I278" s="280" t="str">
        <f ca="1">IFERROR(__xludf.DUMMYFUNCTION("""COMPUTED_VALUE"""),"Direct port CUT OFF")</f>
        <v>Direct port CUT OFF</v>
      </c>
      <c r="J278" s="280" t="str">
        <f ca="1">IFERROR(__xludf.DUMMYFUNCTION("""COMPUTED_VALUE"""),"Orther port CUT OFF")</f>
        <v>Orther port CUT OFF</v>
      </c>
      <c r="K278" s="280" t="str">
        <f ca="1">IFERROR(__xludf.DUMMYFUNCTION("""COMPUTED_VALUE"""),"ON BOARD DATE")</f>
        <v>ON BOARD DATE</v>
      </c>
      <c r="L278" s="278" t="str">
        <f ca="1">IFERROR(__xludf.DUMMYFUNCTION("""COMPUTED_VALUE"""),"วันเรือออกจริง")</f>
        <v>วันเรือออกจริง</v>
      </c>
      <c r="M278" s="278" t="str">
        <f ca="1">IFERROR(__xludf.DUMMYFUNCTION("""COMPUTED_VALUE"""),"วันปล่อยบีแอล")</f>
        <v>วันปล่อยบีแอล</v>
      </c>
    </row>
    <row r="279" spans="1:13" ht="18.75" hidden="1">
      <c r="A279" s="278"/>
      <c r="B279" s="278"/>
      <c r="C279" s="279"/>
      <c r="D279" s="278"/>
      <c r="E279" s="278"/>
      <c r="F279" s="278"/>
      <c r="G279" s="278" t="str">
        <f ca="1">IFERROR(__xludf.DUMMYFUNCTION("""COMPUTED_VALUE"""),"3 days before ETD")</f>
        <v>3 days before ETD</v>
      </c>
      <c r="H279" s="278"/>
      <c r="I279" s="280" t="str">
        <f ca="1">IFERROR(__xludf.DUMMYFUNCTION("""COMPUTED_VALUE"""),"2 days before ETD")</f>
        <v>2 days before ETD</v>
      </c>
      <c r="J279" s="280" t="str">
        <f ca="1">IFERROR(__xludf.DUMMYFUNCTION("""COMPUTED_VALUE"""),"1 days before ETD")</f>
        <v>1 days before ETD</v>
      </c>
      <c r="K279" s="280" t="str">
        <f ca="1">IFERROR(__xludf.DUMMYFUNCTION("""COMPUTED_VALUE"""),"SHOW ON B/L")</f>
        <v>SHOW ON B/L</v>
      </c>
      <c r="L279" s="278"/>
      <c r="M279" s="278"/>
    </row>
    <row r="280" spans="1:13" ht="18.75" hidden="1">
      <c r="A280" s="278" t="str">
        <f ca="1">IFERROR(__xludf.DUMMYFUNCTION("""COMPUTED_VALUE"""),"MBX")</f>
        <v>MBX</v>
      </c>
      <c r="B280" s="278" t="str">
        <f ca="1">IFERROR(__xludf.DUMMYFUNCTION("""COMPUTED_VALUE"""),"TEH TAICHUNG V.25007E")</f>
        <v>TEH TAICHUNG V.25007E</v>
      </c>
      <c r="C280" s="279" t="str">
        <f ca="1">IFERROR(__xludf.DUMMYFUNCTION("""COMPUTED_VALUE"""),"THLCB")</f>
        <v>THLCB</v>
      </c>
      <c r="D280" s="278" t="str">
        <f ca="1">IFERROR(__xludf.DUMMYFUNCTION("""COMPUTED_VALUE"""),"26-07-2025 06:00")</f>
        <v>26-07-2025 06:00</v>
      </c>
      <c r="E280" s="278" t="str">
        <f ca="1">IFERROR(__xludf.DUMMYFUNCTION("""COMPUTED_VALUE"""),"32.62 18/07/2025")</f>
        <v>32.62 18/07/2025</v>
      </c>
      <c r="F280" s="278" t="str">
        <f ca="1">IFERROR(__xludf.DUMMYFUNCTION("""COMPUTED_VALUE"""),"24-07-2025 15:00")</f>
        <v>24-07-2025 15:00</v>
      </c>
      <c r="G280" s="278" t="str">
        <f ca="1">IFERROR(__xludf.DUMMYFUNCTION("""COMPUTED_VALUE"""),"25-07-2025 15:00")</f>
        <v>25-07-2025 15:00</v>
      </c>
      <c r="H280" s="278" t="str">
        <f ca="1">IFERROR(__xludf.DUMMYFUNCTION("""COMPUTED_VALUE"""),"25-07-2025 15:00")</f>
        <v>25-07-2025 15:00</v>
      </c>
      <c r="I280" s="280" t="str">
        <f ca="1">IFERROR(__xludf.DUMMYFUNCTION("""COMPUTED_VALUE"""),"26-07-2025 15:00")</f>
        <v>26-07-2025 15:00</v>
      </c>
      <c r="J280" s="280" t="str">
        <f ca="1">IFERROR(__xludf.DUMMYFUNCTION("""COMPUTED_VALUE"""),"27-07-2025 16:00")</f>
        <v>27-07-2025 16:00</v>
      </c>
      <c r="K280" s="280" t="str">
        <f ca="1">IFERROR(__xludf.DUMMYFUNCTION("""COMPUTED_VALUE"""),"28-07-2025 15:00")</f>
        <v>28-07-2025 15:00</v>
      </c>
      <c r="L280" s="278" t="str">
        <f ca="1">IFERROR(__xludf.DUMMYFUNCTION("""COMPUTED_VALUE"""),"28-07-2025 11:00")</f>
        <v>28-07-2025 11:00</v>
      </c>
      <c r="M280" s="278" t="str">
        <f ca="1">IFERROR(__xludf.DUMMYFUNCTION("""COMPUTED_VALUE"""),"29/07/2025 MORNING")</f>
        <v>29/07/2025 MORNING</v>
      </c>
    </row>
    <row r="281" spans="1:13" ht="18.75" hidden="1">
      <c r="A281" s="278" t="str">
        <f ca="1">IFERROR(__xludf.DUMMYFUNCTION("""COMPUTED_VALUE"""),"CHT")</f>
        <v>CHT</v>
      </c>
      <c r="B281" s="278" t="str">
        <f ca="1">IFERROR(__xludf.DUMMYFUNCTION("""COMPUTED_VALUE"""),"SAWASDEE RIGEL V.2508N")</f>
        <v>SAWASDEE RIGEL V.2508N</v>
      </c>
      <c r="C281" s="279" t="str">
        <f ca="1">IFERROR(__xludf.DUMMYFUNCTION("""COMPUTED_VALUE"""),"THBKK")</f>
        <v>THBKK</v>
      </c>
      <c r="D281" s="278" t="str">
        <f ca="1">IFERROR(__xludf.DUMMYFUNCTION("""COMPUTED_VALUE"""),"23-07-2025 08:00")</f>
        <v>23-07-2025 08:00</v>
      </c>
      <c r="E281" s="278" t="str">
        <f ca="1">IFERROR(__xludf.DUMMYFUNCTION("""COMPUTED_VALUE"""),"32.43 23/07/2025")</f>
        <v>32.43 23/07/2025</v>
      </c>
      <c r="F281" s="278" t="str">
        <f ca="1">IFERROR(__xludf.DUMMYFUNCTION("""COMPUTED_VALUE"""),"31-07-2025 15:00")</f>
        <v>31-07-2025 15:00</v>
      </c>
      <c r="G281" s="341">
        <f ca="1">IFERROR(__xludf.DUMMYFUNCTION("""COMPUTED_VALUE"""),45665.625)</f>
        <v>45665.625</v>
      </c>
      <c r="H281" s="341">
        <f ca="1">IFERROR(__xludf.DUMMYFUNCTION("""COMPUTED_VALUE"""),45665.625)</f>
        <v>45665.625</v>
      </c>
      <c r="I281" s="285">
        <f ca="1">IFERROR(__xludf.DUMMYFUNCTION("""COMPUTED_VALUE"""),45665.625)</f>
        <v>45665.625</v>
      </c>
      <c r="J281" s="283">
        <f ca="1">IFERROR(__xludf.DUMMYFUNCTION("""COMPUTED_VALUE"""),45696.6666666666)</f>
        <v>45696.666666666599</v>
      </c>
      <c r="K281" s="285">
        <f ca="1">IFERROR(__xludf.DUMMYFUNCTION("""COMPUTED_VALUE"""),45724.7083333333)</f>
        <v>45724.708333333299</v>
      </c>
      <c r="L281" s="341">
        <f ca="1">IFERROR(__xludf.DUMMYFUNCTION("""COMPUTED_VALUE"""),45724.7083333333)</f>
        <v>45724.708333333299</v>
      </c>
      <c r="M281" s="278" t="str">
        <f ca="1">IFERROR(__xludf.DUMMYFUNCTION("""COMPUTED_VALUE"""),"04-08-2025 MORNING")</f>
        <v>04-08-2025 MORNING</v>
      </c>
    </row>
    <row r="282" spans="1:13" ht="18.75" hidden="1">
      <c r="A282" s="278"/>
      <c r="B282" s="278"/>
      <c r="C282" s="279" t="str">
        <f ca="1">IFERROR(__xludf.DUMMYFUNCTION("""COMPUTED_VALUE"""),"THLCB")</f>
        <v>THLCB</v>
      </c>
      <c r="D282" s="278" t="str">
        <f ca="1">IFERROR(__xludf.DUMMYFUNCTION("""COMPUTED_VALUE"""),"24-07-2025 04:00")</f>
        <v>24-07-2025 04:00</v>
      </c>
      <c r="E282" s="278"/>
      <c r="F282" s="341">
        <f ca="1">IFERROR(__xludf.DUMMYFUNCTION("""COMPUTED_VALUE"""),45696.625)</f>
        <v>45696.625</v>
      </c>
      <c r="G282" s="341">
        <f ca="1">IFERROR(__xludf.DUMMYFUNCTION("""COMPUTED_VALUE"""),45724.625)</f>
        <v>45724.625</v>
      </c>
      <c r="H282" s="341">
        <f ca="1">IFERROR(__xludf.DUMMYFUNCTION("""COMPUTED_VALUE"""),45724.625)</f>
        <v>45724.625</v>
      </c>
      <c r="I282" s="285">
        <f ca="1">IFERROR(__xludf.DUMMYFUNCTION("""COMPUTED_VALUE"""),45755.625)</f>
        <v>45755.625</v>
      </c>
      <c r="J282" s="283">
        <f ca="1">IFERROR(__xludf.DUMMYFUNCTION("""COMPUTED_VALUE"""),45785.6666666666)</f>
        <v>45785.666666666599</v>
      </c>
      <c r="K282" s="285">
        <f ca="1">IFERROR(__xludf.DUMMYFUNCTION("""COMPUTED_VALUE"""),45816.0416666666)</f>
        <v>45816.041666666599</v>
      </c>
      <c r="L282" s="331">
        <f ca="1">IFERROR(__xludf.DUMMYFUNCTION("""COMPUTED_VALUE"""),45816.1666666666)</f>
        <v>45816.166666666599</v>
      </c>
      <c r="M282" s="278" t="str">
        <f ca="1">IFERROR(__xludf.DUMMYFUNCTION("""COMPUTED_VALUE"""),"06/08/2025 NOON")</f>
        <v>06/08/2025 NOON</v>
      </c>
    </row>
    <row r="283" spans="1:13" ht="18.75" hidden="1">
      <c r="A283" s="278" t="str">
        <f ca="1">IFERROR(__xludf.DUMMYFUNCTION("""COMPUTED_VALUE"""),"CVT")</f>
        <v>CVT</v>
      </c>
      <c r="B283" s="278" t="str">
        <f ca="1">IFERROR(__xludf.DUMMYFUNCTION("""COMPUTED_VALUE"""),"AVIOS V.2511N")</f>
        <v>AVIOS V.2511N</v>
      </c>
      <c r="C283" s="279" t="str">
        <f ca="1">IFERROR(__xludf.DUMMYFUNCTION("""COMPUTED_VALUE"""),"THBKK")</f>
        <v>THBKK</v>
      </c>
      <c r="D283" s="278" t="str">
        <f ca="1">IFERROR(__xludf.DUMMYFUNCTION("""COMPUTED_VALUE"""),"31-07-2025 08:00")</f>
        <v>31-07-2025 08:00</v>
      </c>
      <c r="E283" s="278" t="str">
        <f ca="1">IFERROR(__xludf.DUMMYFUNCTION("""COMPUTED_VALUE"""),"32.51 24/07/2025")</f>
        <v>32.51 24/07/2025</v>
      </c>
      <c r="F283" s="278" t="str">
        <f ca="1">IFERROR(__xludf.DUMMYFUNCTION("""COMPUTED_VALUE"""),"29-07-2025 15:00")</f>
        <v>29-07-2025 15:00</v>
      </c>
      <c r="G283" s="278" t="str">
        <f ca="1">IFERROR(__xludf.DUMMYFUNCTION("""COMPUTED_VALUE"""),"30-07-2025 15:00")</f>
        <v>30-07-2025 15:00</v>
      </c>
      <c r="H283" s="278" t="str">
        <f ca="1">IFERROR(__xludf.DUMMYFUNCTION("""COMPUTED_VALUE"""),"30-07-2025 15:00")</f>
        <v>30-07-2025 15:00</v>
      </c>
      <c r="I283" s="280" t="str">
        <f ca="1">IFERROR(__xludf.DUMMYFUNCTION("""COMPUTED_VALUE"""),"31-07-2025 15:00")</f>
        <v>31-07-2025 15:00</v>
      </c>
      <c r="J283" s="284">
        <f ca="1">IFERROR(__xludf.DUMMYFUNCTION("""COMPUTED_VALUE"""),45665.6666666666)</f>
        <v>45665.666666666599</v>
      </c>
      <c r="K283" s="285">
        <f ca="1">IFERROR(__xludf.DUMMYFUNCTION("""COMPUTED_VALUE"""),45696.7083333333)</f>
        <v>45696.708333333299</v>
      </c>
      <c r="L283" s="282">
        <f ca="1">IFERROR(__xludf.DUMMYFUNCTION("""COMPUTED_VALUE"""),45696.7083333333)</f>
        <v>45696.708333333299</v>
      </c>
      <c r="M283" s="278" t="str">
        <f ca="1">IFERROR(__xludf.DUMMYFUNCTION("""COMPUTED_VALUE"""),"04-08-2025 MORNING")</f>
        <v>04-08-2025 MORNING</v>
      </c>
    </row>
    <row r="284" spans="1:13" ht="18.75" hidden="1">
      <c r="A284" s="278"/>
      <c r="B284" s="278"/>
      <c r="C284" s="279" t="str">
        <f ca="1">IFERROR(__xludf.DUMMYFUNCTION("""COMPUTED_VALUE"""),"THLCB")</f>
        <v>THLCB</v>
      </c>
      <c r="D284" s="282">
        <f ca="1">IFERROR(__xludf.DUMMYFUNCTION("""COMPUTED_VALUE"""),45665.1666666666)</f>
        <v>45665.166666666599</v>
      </c>
      <c r="E284" s="278"/>
      <c r="F284" s="278" t="str">
        <f ca="1">IFERROR(__xludf.DUMMYFUNCTION("""COMPUTED_VALUE"""),"30-07-2025 15:00")</f>
        <v>30-07-2025 15:00</v>
      </c>
      <c r="G284" s="278" t="str">
        <f ca="1">IFERROR(__xludf.DUMMYFUNCTION("""COMPUTED_VALUE"""),"31-07-2025 15:00")</f>
        <v>31-07-2025 15:00</v>
      </c>
      <c r="H284" s="278" t="str">
        <f ca="1">IFERROR(__xludf.DUMMYFUNCTION("""COMPUTED_VALUE"""),"31-07-2025 15:00")</f>
        <v>31-07-2025 15:00</v>
      </c>
      <c r="I284" s="285">
        <f ca="1">IFERROR(__xludf.DUMMYFUNCTION("""COMPUTED_VALUE"""),45665.625)</f>
        <v>45665.625</v>
      </c>
      <c r="J284" s="284">
        <f ca="1">IFERROR(__xludf.DUMMYFUNCTION("""COMPUTED_VALUE"""),45696.6666666666)</f>
        <v>45696.666666666599</v>
      </c>
      <c r="K284" s="285">
        <f ca="1">IFERROR(__xludf.DUMMYFUNCTION("""COMPUTED_VALUE"""),45724.4166666666)</f>
        <v>45724.416666666599</v>
      </c>
      <c r="L284" s="282">
        <f ca="1">IFERROR(__xludf.DUMMYFUNCTION("""COMPUTED_VALUE"""),45724.8333333333)</f>
        <v>45724.833333333299</v>
      </c>
      <c r="M284" s="278" t="str">
        <f ca="1">IFERROR(__xludf.DUMMYFUNCTION("""COMPUTED_VALUE"""),"04-08-2025 MORNING")</f>
        <v>04-08-2025 MORNING</v>
      </c>
    </row>
    <row r="285" spans="1:13" ht="18.75" hidden="1">
      <c r="A285" s="278"/>
      <c r="B285" s="278"/>
      <c r="C285" s="279"/>
      <c r="D285" s="278"/>
      <c r="E285" s="278"/>
      <c r="F285" s="278"/>
      <c r="G285" s="278"/>
      <c r="H285" s="278"/>
      <c r="I285" s="280"/>
      <c r="J285" s="280"/>
      <c r="K285" s="280"/>
      <c r="L285" s="278"/>
      <c r="M285" s="278"/>
    </row>
    <row r="286" spans="1:13" ht="18.75" hidden="1">
      <c r="A286" s="278"/>
      <c r="B286" s="278" t="str">
        <f ca="1">IFERROR(__xludf.DUMMYFUNCTION("""COMPUTED_VALUE"""),"WEEK 30/2025")</f>
        <v>WEEK 30/2025</v>
      </c>
      <c r="C286" s="279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286" s="278"/>
      <c r="E286" s="278"/>
      <c r="F286" s="278"/>
      <c r="G286" s="278"/>
      <c r="H286" s="278"/>
      <c r="I286" s="280"/>
      <c r="J286" s="280"/>
      <c r="K286" s="280"/>
      <c r="L286" s="278"/>
      <c r="M286" s="278"/>
    </row>
    <row r="287" spans="1:13" ht="18.75" hidden="1">
      <c r="A287" s="278"/>
      <c r="B287" s="278"/>
      <c r="C287" s="279"/>
      <c r="D287" s="278"/>
      <c r="E287" s="278"/>
      <c r="F287" s="278"/>
      <c r="G287" s="278"/>
      <c r="H287" s="278"/>
      <c r="I287" s="280"/>
      <c r="J287" s="280"/>
      <c r="K287" s="280"/>
      <c r="L287" s="278"/>
      <c r="M287" s="278"/>
    </row>
    <row r="288" spans="1:13" ht="18.75" hidden="1">
      <c r="A288" s="278" t="str">
        <f ca="1">IFERROR(__xludf.DUMMYFUNCTION("""COMPUTED_VALUE"""),"SERVICE")</f>
        <v>SERVICE</v>
      </c>
      <c r="B288" s="278" t="str">
        <f ca="1">IFERROR(__xludf.DUMMYFUNCTION("""COMPUTED_VALUE"""),"VESSEL NAME")</f>
        <v>VESSEL NAME</v>
      </c>
      <c r="C288" s="279" t="str">
        <f ca="1">IFERROR(__xludf.DUMMYFUNCTION("""COMPUTED_VALUE"""),"PORT")</f>
        <v>PORT</v>
      </c>
      <c r="D288" s="278" t="str">
        <f ca="1">IFERROR(__xludf.DUMMYFUNCTION("""COMPUTED_VALUE"""),"PERFOMA ETD")</f>
        <v>PERFOMA ETD</v>
      </c>
      <c r="E288" s="278" t="str">
        <f ca="1">IFERROR(__xludf.DUMMYFUNCTION("""COMPUTED_VALUE"""),"EX.RATE/DATE/")</f>
        <v>EX.RATE/DATE/</v>
      </c>
      <c r="F288" s="278" t="str">
        <f ca="1">IFERROR(__xludf.DUMMYFUNCTION("""COMPUTED_VALUE"""),"SI CUT OFF USA")</f>
        <v>SI CUT OFF USA</v>
      </c>
      <c r="G288" s="278" t="str">
        <f ca="1">IFERROR(__xludf.DUMMYFUNCTION("""COMPUTED_VALUE"""),"SI CUT OFF")</f>
        <v>SI CUT OFF</v>
      </c>
      <c r="H288" s="278" t="str">
        <f ca="1">IFERROR(__xludf.DUMMYFUNCTION("""COMPUTED_VALUE"""),"B/L CFM USA")</f>
        <v>B/L CFM USA</v>
      </c>
      <c r="I288" s="280" t="str">
        <f ca="1">IFERROR(__xludf.DUMMYFUNCTION("""COMPUTED_VALUE"""),"B/L CFM CHINA,JP,VN")</f>
        <v>B/L CFM CHINA,JP,VN</v>
      </c>
      <c r="J288" s="280" t="str">
        <f ca="1">IFERROR(__xludf.DUMMYFUNCTION("""COMPUTED_VALUE"""),"B/L CONFIRM")</f>
        <v>B/L CONFIRM</v>
      </c>
      <c r="K288" s="280" t="str">
        <f ca="1">IFERROR(__xludf.DUMMYFUNCTION("""COMPUTED_VALUE"""),"ETD")</f>
        <v>ETD</v>
      </c>
      <c r="L288" s="278" t="str">
        <f ca="1">IFERROR(__xludf.DUMMYFUNCTION("""COMPUTED_VALUE"""),"ATD")</f>
        <v>ATD</v>
      </c>
      <c r="M288" s="278" t="str">
        <f ca="1">IFERROR(__xludf.DUMMYFUNCTION("""COMPUTED_VALUE"""),"B/L ISSUED DATE")</f>
        <v>B/L ISSUED DATE</v>
      </c>
    </row>
    <row r="289" spans="1:13" ht="18.75" hidden="1">
      <c r="A289" s="278"/>
      <c r="B289" s="278"/>
      <c r="C289" s="279"/>
      <c r="D289" s="278"/>
      <c r="E289" s="278" t="str">
        <f ca="1">IFERROR(__xludf.DUMMYFUNCTION("""COMPUTED_VALUE"""),"BANGKOK BANK")</f>
        <v>BANGKOK BANK</v>
      </c>
      <c r="F289" s="278" t="str">
        <f ca="1">IFERROR(__xludf.DUMMYFUNCTION("""COMPUTED_VALUE"""),"4 days before ETD")</f>
        <v>4 days before ETD</v>
      </c>
      <c r="G289" s="278"/>
      <c r="H289" s="278" t="str">
        <f ca="1">IFERROR(__xludf.DUMMYFUNCTION("""COMPUTED_VALUE"""),"3 days before ETD")</f>
        <v>3 days before ETD</v>
      </c>
      <c r="I289" s="280" t="str">
        <f ca="1">IFERROR(__xludf.DUMMYFUNCTION("""COMPUTED_VALUE"""),"Direct port CUT OFF")</f>
        <v>Direct port CUT OFF</v>
      </c>
      <c r="J289" s="280" t="str">
        <f ca="1">IFERROR(__xludf.DUMMYFUNCTION("""COMPUTED_VALUE"""),"Orther port CUT OFF")</f>
        <v>Orther port CUT OFF</v>
      </c>
      <c r="K289" s="280" t="str">
        <f ca="1">IFERROR(__xludf.DUMMYFUNCTION("""COMPUTED_VALUE"""),"ON BOARD DATE")</f>
        <v>ON BOARD DATE</v>
      </c>
      <c r="L289" s="278" t="str">
        <f ca="1">IFERROR(__xludf.DUMMYFUNCTION("""COMPUTED_VALUE"""),"วันเรือออกจริง")</f>
        <v>วันเรือออกจริง</v>
      </c>
      <c r="M289" s="278" t="str">
        <f ca="1">IFERROR(__xludf.DUMMYFUNCTION("""COMPUTED_VALUE"""),"วันปล่อยบีแอล")</f>
        <v>วันปล่อยบีแอล</v>
      </c>
    </row>
    <row r="290" spans="1:13" ht="18.75" hidden="1">
      <c r="A290" s="278"/>
      <c r="B290" s="278"/>
      <c r="C290" s="279"/>
      <c r="D290" s="278"/>
      <c r="E290" s="278"/>
      <c r="F290" s="278"/>
      <c r="G290" s="278" t="str">
        <f ca="1">IFERROR(__xludf.DUMMYFUNCTION("""COMPUTED_VALUE"""),"3 days before ETD")</f>
        <v>3 days before ETD</v>
      </c>
      <c r="H290" s="278"/>
      <c r="I290" s="280" t="str">
        <f ca="1">IFERROR(__xludf.DUMMYFUNCTION("""COMPUTED_VALUE"""),"2 days before ETD")</f>
        <v>2 days before ETD</v>
      </c>
      <c r="J290" s="280" t="str">
        <f ca="1">IFERROR(__xludf.DUMMYFUNCTION("""COMPUTED_VALUE"""),"1 days before ETD")</f>
        <v>1 days before ETD</v>
      </c>
      <c r="K290" s="280" t="str">
        <f ca="1">IFERROR(__xludf.DUMMYFUNCTION("""COMPUTED_VALUE"""),"SHOW ON B/L")</f>
        <v>SHOW ON B/L</v>
      </c>
      <c r="L290" s="278"/>
      <c r="M290" s="278"/>
    </row>
    <row r="291" spans="1:13" ht="18.75" hidden="1">
      <c r="A291" s="278" t="str">
        <f ca="1">IFERROR(__xludf.DUMMYFUNCTION("""COMPUTED_VALUE"""),"JHTS")</f>
        <v>JHTS</v>
      </c>
      <c r="B291" s="278" t="str">
        <f ca="1">IFERROR(__xludf.DUMMYFUNCTION("""COMPUTED_VALUE"""),"TS KWANGYANG V.25010N")</f>
        <v>TS KWANGYANG V.25010N</v>
      </c>
      <c r="C291" s="279" t="str">
        <f ca="1">IFERROR(__xludf.DUMMYFUNCTION("""COMPUTED_VALUE"""),"THBKK")</f>
        <v>THBKK</v>
      </c>
      <c r="D291" s="278" t="str">
        <f ca="1">IFERROR(__xludf.DUMMYFUNCTION("""COMPUTED_VALUE"""),"20/07/2025 06:00")</f>
        <v>20/07/2025 06:00</v>
      </c>
      <c r="E291" s="278" t="str">
        <f ca="1">IFERROR(__xludf.DUMMYFUNCTION("""COMPUTED_VALUE"""),"32.76 17/07/2025")</f>
        <v>32.76 17/07/2025</v>
      </c>
      <c r="F291" s="278" t="str">
        <f ca="1">IFERROR(__xludf.DUMMYFUNCTION("""COMPUTED_VALUE"""),"24/07/2025 15:00")</f>
        <v>24/07/2025 15:00</v>
      </c>
      <c r="G291" s="278" t="str">
        <f ca="1">IFERROR(__xludf.DUMMYFUNCTION("""COMPUTED_VALUE"""),"25/07/2025 15:00")</f>
        <v>25/07/2025 15:00</v>
      </c>
      <c r="H291" s="278" t="str">
        <f ca="1">IFERROR(__xludf.DUMMYFUNCTION("""COMPUTED_VALUE"""),"25/07/2025 15:00")</f>
        <v>25/07/2025 15:00</v>
      </c>
      <c r="I291" s="280" t="str">
        <f ca="1">IFERROR(__xludf.DUMMYFUNCTION("""COMPUTED_VALUE"""),"26/07/2025 15:00")</f>
        <v>26/07/2025 15:00</v>
      </c>
      <c r="J291" s="280" t="str">
        <f ca="1">IFERROR(__xludf.DUMMYFUNCTION("""COMPUTED_VALUE"""),"27/07/2025 16:00")</f>
        <v>27/07/2025 16:00</v>
      </c>
      <c r="K291" s="280" t="str">
        <f ca="1">IFERROR(__xludf.DUMMYFUNCTION("""COMPUTED_VALUE"""),"28/07/2025 03:30")</f>
        <v>28/07/2025 03:30</v>
      </c>
      <c r="L291" s="278" t="str">
        <f ca="1">IFERROR(__xludf.DUMMYFUNCTION("""COMPUTED_VALUE"""),"28/07/2025  18:00")</f>
        <v>28/07/2025  18:00</v>
      </c>
      <c r="M291" s="278" t="str">
        <f ca="1">IFERROR(__xludf.DUMMYFUNCTION("""COMPUTED_VALUE"""),"29/07/2025 MORNING")</f>
        <v>29/07/2025 MORNING</v>
      </c>
    </row>
    <row r="292" spans="1:13" ht="18.75" hidden="1">
      <c r="A292" s="278"/>
      <c r="B292" s="278"/>
      <c r="C292" s="279" t="str">
        <f ca="1">IFERROR(__xludf.DUMMYFUNCTION("""COMPUTED_VALUE"""),"THLCB")</f>
        <v>THLCB</v>
      </c>
      <c r="D292" s="278" t="str">
        <f ca="1">IFERROR(__xludf.DUMMYFUNCTION("""COMPUTED_VALUE"""),"21/07/2025 06:00")</f>
        <v>21/07/2025 06:00</v>
      </c>
      <c r="E292" s="278"/>
      <c r="F292" s="278" t="str">
        <f ca="1">IFERROR(__xludf.DUMMYFUNCTION("""COMPUTED_VALUE"""),"24/07/2025 15:00")</f>
        <v>24/07/2025 15:00</v>
      </c>
      <c r="G292" s="278" t="str">
        <f ca="1">IFERROR(__xludf.DUMMYFUNCTION("""COMPUTED_VALUE"""),"25/07/2025 15:00")</f>
        <v>25/07/2025 15:00</v>
      </c>
      <c r="H292" s="278" t="str">
        <f ca="1">IFERROR(__xludf.DUMMYFUNCTION("""COMPUTED_VALUE"""),"25/07/2025 15:00")</f>
        <v>25/07/2025 15:00</v>
      </c>
      <c r="I292" s="280" t="str">
        <f ca="1">IFERROR(__xludf.DUMMYFUNCTION("""COMPUTED_VALUE"""),"26/07/2025 15:00")</f>
        <v>26/07/2025 15:00</v>
      </c>
      <c r="J292" s="280" t="str">
        <f ca="1">IFERROR(__xludf.DUMMYFUNCTION("""COMPUTED_VALUE"""),"27/07/2025 16:00")</f>
        <v>27/07/2025 16:00</v>
      </c>
      <c r="K292" s="280" t="str">
        <f ca="1">IFERROR(__xludf.DUMMYFUNCTION("""COMPUTED_VALUE"""),"29/07/2025 13:00")</f>
        <v>29/07/2025 13:00</v>
      </c>
      <c r="L292" s="278" t="str">
        <f ca="1">IFERROR(__xludf.DUMMYFUNCTION("""COMPUTED_VALUE"""),"29/07/2025  10:00")</f>
        <v>29/07/2025  10:00</v>
      </c>
      <c r="M292" s="278" t="str">
        <f ca="1">IFERROR(__xludf.DUMMYFUNCTION("""COMPUTED_VALUE"""),"29/07/2025 NOON")</f>
        <v>29/07/2025 NOON</v>
      </c>
    </row>
    <row r="293" spans="1:13" ht="18.75" hidden="1">
      <c r="A293" s="278" t="str">
        <f ca="1">IFERROR(__xludf.DUMMYFUNCTION("""COMPUTED_VALUE"""),"TRX")</f>
        <v>TRX</v>
      </c>
      <c r="B293" s="278" t="str">
        <f ca="1">IFERROR(__xludf.DUMMYFUNCTION("""COMPUTED_VALUE"""),"MAKHA BHUM V.116N")</f>
        <v>MAKHA BHUM V.116N</v>
      </c>
      <c r="C293" s="279" t="str">
        <f ca="1">IFERROR(__xludf.DUMMYFUNCTION("""COMPUTED_VALUE"""),"THBKK")</f>
        <v>THBKK</v>
      </c>
      <c r="D293" s="278" t="str">
        <f ca="1">IFERROR(__xludf.DUMMYFUNCTION("""COMPUTED_VALUE"""),"22/07/2025 19:30")</f>
        <v>22/07/2025 19:30</v>
      </c>
      <c r="E293" s="278" t="str">
        <f ca="1">IFERROR(__xludf.DUMMYFUNCTION("""COMPUTED_VALUE"""),"32.76 16/07/2025")</f>
        <v>32.76 16/07/2025</v>
      </c>
      <c r="F293" s="278" t="str">
        <f ca="1">IFERROR(__xludf.DUMMYFUNCTION("""COMPUTED_VALUE"""),"23/07/2025 15:00")</f>
        <v>23/07/2025 15:00</v>
      </c>
      <c r="G293" s="278" t="str">
        <f ca="1">IFERROR(__xludf.DUMMYFUNCTION("""COMPUTED_VALUE"""),"24/07/2025 15:00")</f>
        <v>24/07/2025 15:00</v>
      </c>
      <c r="H293" s="278" t="str">
        <f ca="1">IFERROR(__xludf.DUMMYFUNCTION("""COMPUTED_VALUE"""),"24/07/2025 15:00")</f>
        <v>24/07/2025 15:00</v>
      </c>
      <c r="I293" s="280" t="str">
        <f ca="1">IFERROR(__xludf.DUMMYFUNCTION("""COMPUTED_VALUE"""),"25/07/2025 15:00")</f>
        <v>25/07/2025 15:00</v>
      </c>
      <c r="J293" s="280" t="str">
        <f ca="1">IFERROR(__xludf.DUMMYFUNCTION("""COMPUTED_VALUE"""),"26/07/2025 16:00")</f>
        <v>26/07/2025 16:00</v>
      </c>
      <c r="K293" s="280" t="str">
        <f ca="1">IFERROR(__xludf.DUMMYFUNCTION("""COMPUTED_VALUE"""),"27/07/2025 07:00")</f>
        <v>27/07/2025 07:00</v>
      </c>
      <c r="L293" s="278" t="str">
        <f ca="1">IFERROR(__xludf.DUMMYFUNCTION("""COMPUTED_VALUE"""),"27/07/2025  04:00")</f>
        <v>27/07/2025  04:00</v>
      </c>
      <c r="M293" s="278" t="str">
        <f ca="1">IFERROR(__xludf.DUMMYFUNCTION("""COMPUTED_VALUE"""),"29/07/2025 MORNING")</f>
        <v>29/07/2025 MORNING</v>
      </c>
    </row>
    <row r="294" spans="1:13" ht="18.75" hidden="1">
      <c r="A294" s="278"/>
      <c r="B294" s="278"/>
      <c r="C294" s="279" t="str">
        <f ca="1">IFERROR(__xludf.DUMMYFUNCTION("""COMPUTED_VALUE"""),"THLCB")</f>
        <v>THLCB</v>
      </c>
      <c r="D294" s="278" t="str">
        <f ca="1">IFERROR(__xludf.DUMMYFUNCTION("""COMPUTED_VALUE"""),"24/07/2025 09:00")</f>
        <v>24/07/2025 09:00</v>
      </c>
      <c r="E294" s="278"/>
      <c r="F294" s="278" t="str">
        <f ca="1">IFERROR(__xludf.DUMMYFUNCTION("""COMPUTED_VALUE"""),"24/07/2025 15:00")</f>
        <v>24/07/2025 15:00</v>
      </c>
      <c r="G294" s="278" t="str">
        <f ca="1">IFERROR(__xludf.DUMMYFUNCTION("""COMPUTED_VALUE"""),"25/07/2025 15:00")</f>
        <v>25/07/2025 15:00</v>
      </c>
      <c r="H294" s="278" t="str">
        <f ca="1">IFERROR(__xludf.DUMMYFUNCTION("""COMPUTED_VALUE"""),"25/07/2025 15:00")</f>
        <v>25/07/2025 15:00</v>
      </c>
      <c r="I294" s="280" t="str">
        <f ca="1">IFERROR(__xludf.DUMMYFUNCTION("""COMPUTED_VALUE"""),"26/07/2025 15:00")</f>
        <v>26/07/2025 15:00</v>
      </c>
      <c r="J294" s="280" t="str">
        <f ca="1">IFERROR(__xludf.DUMMYFUNCTION("""COMPUTED_VALUE"""),"27/07/2025 16:00")</f>
        <v>27/07/2025 16:00</v>
      </c>
      <c r="K294" s="280" t="str">
        <f ca="1">IFERROR(__xludf.DUMMYFUNCTION("""COMPUTED_VALUE"""),"28/07/2025 04:00")</f>
        <v>28/07/2025 04:00</v>
      </c>
      <c r="L294" s="278" t="str">
        <f ca="1">IFERROR(__xludf.DUMMYFUNCTION("""COMPUTED_VALUE"""),"28/07/2025  01:54")</f>
        <v>28/07/2025  01:54</v>
      </c>
      <c r="M294" s="278" t="str">
        <f ca="1">IFERROR(__xludf.DUMMYFUNCTION("""COMPUTED_VALUE"""),"29/07/2025 MORNING")</f>
        <v>29/07/2025 MORNING</v>
      </c>
    </row>
    <row r="295" spans="1:13" ht="18.75" hidden="1">
      <c r="A295" s="278" t="str">
        <f ca="1">IFERROR(__xludf.DUMMYFUNCTION("""COMPUTED_VALUE"""),"CVT")</f>
        <v>CVT</v>
      </c>
      <c r="B295" s="278" t="str">
        <f ca="1">IFERROR(__xludf.DUMMYFUNCTION("""COMPUTED_VALUE"""),"TS QINGDAO V.25010N")</f>
        <v>TS QINGDAO V.25010N</v>
      </c>
      <c r="C295" s="279" t="str">
        <f ca="1">IFERROR(__xludf.DUMMYFUNCTION("""COMPUTED_VALUE"""),"THBKK")</f>
        <v>THBKK</v>
      </c>
      <c r="D295" s="278" t="str">
        <f ca="1">IFERROR(__xludf.DUMMYFUNCTION("""COMPUTED_VALUE"""),"24/07/2025 08:00")</f>
        <v>24/07/2025 08:00</v>
      </c>
      <c r="E295" s="278" t="str">
        <f ca="1">IFERROR(__xludf.DUMMYFUNCTION("""COMPUTED_VALUE"""),"32.76 16/07/2025")</f>
        <v>32.76 16/07/2025</v>
      </c>
      <c r="F295" s="278" t="str">
        <f ca="1">IFERROR(__xludf.DUMMYFUNCTION("""COMPUTED_VALUE"""),"18/07/2025 15:00")</f>
        <v>18/07/2025 15:00</v>
      </c>
      <c r="G295" s="278" t="str">
        <f ca="1">IFERROR(__xludf.DUMMYFUNCTION("""COMPUTED_VALUE"""),"19/07/2025 15:00")</f>
        <v>19/07/2025 15:00</v>
      </c>
      <c r="H295" s="278" t="str">
        <f ca="1">IFERROR(__xludf.DUMMYFUNCTION("""COMPUTED_VALUE"""),"19/07/2025 15:00")</f>
        <v>19/07/2025 15:00</v>
      </c>
      <c r="I295" s="280" t="str">
        <f ca="1">IFERROR(__xludf.DUMMYFUNCTION("""COMPUTED_VALUE"""),"21/07/2025 15:00")</f>
        <v>21/07/2025 15:00</v>
      </c>
      <c r="J295" s="280" t="str">
        <f ca="1">IFERROR(__xludf.DUMMYFUNCTION("""COMPUTED_VALUE"""),"22/07/2025 16:00")</f>
        <v>22/07/2025 16:00</v>
      </c>
      <c r="K295" s="280" t="str">
        <f ca="1">IFERROR(__xludf.DUMMYFUNCTION("""COMPUTED_VALUE"""),"23/07/2025 16:30")</f>
        <v>23/07/2025 16:30</v>
      </c>
      <c r="L295" s="278" t="str">
        <f ca="1">IFERROR(__xludf.DUMMYFUNCTION("""COMPUTED_VALUE"""),"23/07/2025  16:00")</f>
        <v>23/07/2025  16:00</v>
      </c>
      <c r="M295" s="278" t="str">
        <f ca="1">IFERROR(__xludf.DUMMYFUNCTION("""COMPUTED_VALUE"""),"24/07/2025 MORNING")</f>
        <v>24/07/2025 MORNING</v>
      </c>
    </row>
    <row r="296" spans="1:13" ht="18.75" hidden="1">
      <c r="A296" s="278"/>
      <c r="B296" s="278"/>
      <c r="C296" s="279" t="str">
        <f ca="1">IFERROR(__xludf.DUMMYFUNCTION("""COMPUTED_VALUE"""),"THLCB")</f>
        <v>THLCB</v>
      </c>
      <c r="D296" s="278" t="str">
        <f ca="1">IFERROR(__xludf.DUMMYFUNCTION("""COMPUTED_VALUE"""),"25/07/2025 04:00")</f>
        <v>25/07/2025 04:00</v>
      </c>
      <c r="E296" s="278"/>
      <c r="F296" s="278" t="str">
        <f ca="1">IFERROR(__xludf.DUMMYFUNCTION("""COMPUTED_VALUE"""),"21/07/2025 15:00")</f>
        <v>21/07/2025 15:00</v>
      </c>
      <c r="G296" s="278" t="str">
        <f ca="1">IFERROR(__xludf.DUMMYFUNCTION("""COMPUTED_VALUE"""),"22/07/2025 15:00")</f>
        <v>22/07/2025 15:00</v>
      </c>
      <c r="H296" s="278" t="str">
        <f ca="1">IFERROR(__xludf.DUMMYFUNCTION("""COMPUTED_VALUE"""),"22/07/2025 15:00")</f>
        <v>22/07/2025 15:00</v>
      </c>
      <c r="I296" s="280" t="str">
        <f ca="1">IFERROR(__xludf.DUMMYFUNCTION("""COMPUTED_VALUE"""),"23/07/2025 15:00")</f>
        <v>23/07/2025 15:00</v>
      </c>
      <c r="J296" s="280" t="str">
        <f ca="1">IFERROR(__xludf.DUMMYFUNCTION("""COMPUTED_VALUE"""),"24/07/2025 16:00")</f>
        <v>24/07/2025 16:00</v>
      </c>
      <c r="K296" s="280" t="str">
        <f ca="1">IFERROR(__xludf.DUMMYFUNCTION("""COMPUTED_VALUE"""),"25/07/2025 13:00")</f>
        <v>25/07/2025 13:00</v>
      </c>
      <c r="L296" s="278" t="str">
        <f ca="1">IFERROR(__xludf.DUMMYFUNCTION("""COMPUTED_VALUE"""),"25/07/2025  11:00")</f>
        <v>25/07/2025  11:00</v>
      </c>
      <c r="M296" s="278" t="str">
        <f ca="1">IFERROR(__xludf.DUMMYFUNCTION("""COMPUTED_VALUE"""),"25/07/2025 NOON")</f>
        <v>25/07/2025 NOON</v>
      </c>
    </row>
    <row r="297" spans="1:13" ht="18.75" hidden="1">
      <c r="A297" s="278" t="str">
        <f ca="1">IFERROR(__xludf.DUMMYFUNCTION("""COMPUTED_VALUE"""),"JTX")</f>
        <v>JTX</v>
      </c>
      <c r="B297" s="278" t="str">
        <f ca="1">IFERROR(__xludf.DUMMYFUNCTION("""COMPUTED_VALUE"""),"MATOYA BAY V.0QILAN")</f>
        <v>MATOYA BAY V.0QILAN</v>
      </c>
      <c r="C297" s="279" t="str">
        <f ca="1">IFERROR(__xludf.DUMMYFUNCTION("""COMPUTED_VALUE"""),"THLCB")</f>
        <v>THLCB</v>
      </c>
      <c r="D297" s="278" t="str">
        <f ca="1">IFERROR(__xludf.DUMMYFUNCTION("""COMPUTED_VALUE"""),"25/07/2025 22:00")</f>
        <v>25/07/2025 22:00</v>
      </c>
      <c r="E297" s="278" t="str">
        <f ca="1">IFERROR(__xludf.DUMMYFUNCTION("""COMPUTED_VALUE"""),"32.62 18/07/2025")</f>
        <v>32.62 18/07/2025</v>
      </c>
      <c r="F297" s="278" t="str">
        <f ca="1">IFERROR(__xludf.DUMMYFUNCTION("""COMPUTED_VALUE"""),"24/07/2025 15:00")</f>
        <v>24/07/2025 15:00</v>
      </c>
      <c r="G297" s="278" t="str">
        <f ca="1">IFERROR(__xludf.DUMMYFUNCTION("""COMPUTED_VALUE"""),"25/07/2025 15:00")</f>
        <v>25/07/2025 15:00</v>
      </c>
      <c r="H297" s="278" t="str">
        <f ca="1">IFERROR(__xludf.DUMMYFUNCTION("""COMPUTED_VALUE"""),"25/07/2025 15:00")</f>
        <v>25/07/2025 15:00</v>
      </c>
      <c r="I297" s="280" t="str">
        <f ca="1">IFERROR(__xludf.DUMMYFUNCTION("""COMPUTED_VALUE"""),"26/07/2025 15:00")</f>
        <v>26/07/2025 15:00</v>
      </c>
      <c r="J297" s="280" t="str">
        <f ca="1">IFERROR(__xludf.DUMMYFUNCTION("""COMPUTED_VALUE"""),"27/07/2025 16:00")</f>
        <v>27/07/2025 16:00</v>
      </c>
      <c r="K297" s="280" t="str">
        <f ca="1">IFERROR(__xludf.DUMMYFUNCTION("""COMPUTED_VALUE"""),"29/07/2025 15:00")</f>
        <v>29/07/2025 15:00</v>
      </c>
      <c r="L297" s="278" t="str">
        <f ca="1">IFERROR(__xludf.DUMMYFUNCTION("""COMPUTED_VALUE"""),"29/07/2025  06:00")</f>
        <v>29/07/2025  06:00</v>
      </c>
      <c r="M297" s="278" t="str">
        <f ca="1">IFERROR(__xludf.DUMMYFUNCTION("""COMPUTED_VALUE"""),"29/07/2025 NOON")</f>
        <v>29/07/2025 NOON</v>
      </c>
    </row>
    <row r="298" spans="1:13" ht="18.75" hidden="1">
      <c r="A298" s="278"/>
      <c r="B298" s="278"/>
      <c r="C298" s="279"/>
      <c r="D298" s="278"/>
      <c r="E298" s="278"/>
      <c r="F298" s="278"/>
      <c r="G298" s="278"/>
      <c r="H298" s="278"/>
      <c r="I298" s="280"/>
      <c r="J298" s="280"/>
      <c r="K298" s="280"/>
      <c r="L298" s="278"/>
      <c r="M298" s="278"/>
    </row>
    <row r="299" spans="1:13" ht="18.75" hidden="1">
      <c r="A299" s="278"/>
      <c r="B299" s="278" t="str">
        <f ca="1">IFERROR(__xludf.DUMMYFUNCTION("""COMPUTED_VALUE"""),"WEEK 29/2025")</f>
        <v>WEEK 29/2025</v>
      </c>
      <c r="C299" s="279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299" s="278"/>
      <c r="E299" s="278"/>
      <c r="F299" s="278"/>
      <c r="G299" s="278"/>
      <c r="H299" s="278"/>
      <c r="I299" s="280"/>
      <c r="J299" s="280"/>
      <c r="K299" s="280"/>
      <c r="L299" s="278"/>
      <c r="M299" s="278"/>
    </row>
    <row r="300" spans="1:13" ht="18.75" hidden="1">
      <c r="A300" s="278"/>
      <c r="B300" s="278"/>
      <c r="C300" s="279"/>
      <c r="D300" s="278"/>
      <c r="E300" s="278"/>
      <c r="F300" s="278"/>
      <c r="G300" s="278"/>
      <c r="H300" s="278"/>
      <c r="I300" s="280"/>
      <c r="J300" s="280"/>
      <c r="K300" s="280"/>
      <c r="L300" s="278"/>
      <c r="M300" s="278"/>
    </row>
    <row r="301" spans="1:13" ht="18.75" hidden="1">
      <c r="A301" s="278" t="str">
        <f ca="1">IFERROR(__xludf.DUMMYFUNCTION("""COMPUTED_VALUE"""),"SERVICE")</f>
        <v>SERVICE</v>
      </c>
      <c r="B301" s="278" t="str">
        <f ca="1">IFERROR(__xludf.DUMMYFUNCTION("""COMPUTED_VALUE"""),"VESSEL NAME")</f>
        <v>VESSEL NAME</v>
      </c>
      <c r="C301" s="279" t="str">
        <f ca="1">IFERROR(__xludf.DUMMYFUNCTION("""COMPUTED_VALUE"""),"PORT")</f>
        <v>PORT</v>
      </c>
      <c r="D301" s="278" t="str">
        <f ca="1">IFERROR(__xludf.DUMMYFUNCTION("""COMPUTED_VALUE"""),"PERFOMA ETD")</f>
        <v>PERFOMA ETD</v>
      </c>
      <c r="E301" s="278" t="str">
        <f ca="1">IFERROR(__xludf.DUMMYFUNCTION("""COMPUTED_VALUE"""),"EX.RATE/DATE/")</f>
        <v>EX.RATE/DATE/</v>
      </c>
      <c r="F301" s="278" t="str">
        <f ca="1">IFERROR(__xludf.DUMMYFUNCTION("""COMPUTED_VALUE"""),"SI CUT OFF USA")</f>
        <v>SI CUT OFF USA</v>
      </c>
      <c r="G301" s="278" t="str">
        <f ca="1">IFERROR(__xludf.DUMMYFUNCTION("""COMPUTED_VALUE"""),"SI CUT OFF")</f>
        <v>SI CUT OFF</v>
      </c>
      <c r="H301" s="278" t="str">
        <f ca="1">IFERROR(__xludf.DUMMYFUNCTION("""COMPUTED_VALUE"""),"B/L CFM USA")</f>
        <v>B/L CFM USA</v>
      </c>
      <c r="I301" s="280" t="str">
        <f ca="1">IFERROR(__xludf.DUMMYFUNCTION("""COMPUTED_VALUE"""),"B/L CFM CHINA,JP,VN")</f>
        <v>B/L CFM CHINA,JP,VN</v>
      </c>
      <c r="J301" s="280" t="str">
        <f ca="1">IFERROR(__xludf.DUMMYFUNCTION("""COMPUTED_VALUE"""),"B/L CONFIRM")</f>
        <v>B/L CONFIRM</v>
      </c>
      <c r="K301" s="280" t="str">
        <f ca="1">IFERROR(__xludf.DUMMYFUNCTION("""COMPUTED_VALUE"""),"ETD")</f>
        <v>ETD</v>
      </c>
      <c r="L301" s="278" t="str">
        <f ca="1">IFERROR(__xludf.DUMMYFUNCTION("""COMPUTED_VALUE"""),"ATD")</f>
        <v>ATD</v>
      </c>
      <c r="M301" s="278" t="str">
        <f ca="1">IFERROR(__xludf.DUMMYFUNCTION("""COMPUTED_VALUE"""),"B/L ISSUED DATE")</f>
        <v>B/L ISSUED DATE</v>
      </c>
    </row>
    <row r="302" spans="1:13" ht="18.75" hidden="1">
      <c r="A302" s="278"/>
      <c r="B302" s="278"/>
      <c r="C302" s="279"/>
      <c r="D302" s="278"/>
      <c r="E302" s="278" t="str">
        <f ca="1">IFERROR(__xludf.DUMMYFUNCTION("""COMPUTED_VALUE"""),"BANGKOK BANK")</f>
        <v>BANGKOK BANK</v>
      </c>
      <c r="F302" s="278" t="str">
        <f ca="1">IFERROR(__xludf.DUMMYFUNCTION("""COMPUTED_VALUE"""),"4 days before ETD")</f>
        <v>4 days before ETD</v>
      </c>
      <c r="G302" s="278"/>
      <c r="H302" s="278" t="str">
        <f ca="1">IFERROR(__xludf.DUMMYFUNCTION("""COMPUTED_VALUE"""),"3 days before ETD")</f>
        <v>3 days before ETD</v>
      </c>
      <c r="I302" s="280" t="str">
        <f ca="1">IFERROR(__xludf.DUMMYFUNCTION("""COMPUTED_VALUE"""),"Direct port CUT OFF")</f>
        <v>Direct port CUT OFF</v>
      </c>
      <c r="J302" s="280" t="str">
        <f ca="1">IFERROR(__xludf.DUMMYFUNCTION("""COMPUTED_VALUE"""),"Orther port CUT OFF")</f>
        <v>Orther port CUT OFF</v>
      </c>
      <c r="K302" s="280" t="str">
        <f ca="1">IFERROR(__xludf.DUMMYFUNCTION("""COMPUTED_VALUE"""),"ON BOARD DATE")</f>
        <v>ON BOARD DATE</v>
      </c>
      <c r="L302" s="278" t="str">
        <f ca="1">IFERROR(__xludf.DUMMYFUNCTION("""COMPUTED_VALUE"""),"วันเรือออกจริง")</f>
        <v>วันเรือออกจริง</v>
      </c>
      <c r="M302" s="278" t="str">
        <f ca="1">IFERROR(__xludf.DUMMYFUNCTION("""COMPUTED_VALUE"""),"วันปล่อยบีแอล")</f>
        <v>วันปล่อยบีแอล</v>
      </c>
    </row>
    <row r="303" spans="1:13" ht="18.75" hidden="1">
      <c r="A303" s="278"/>
      <c r="B303" s="278"/>
      <c r="C303" s="279"/>
      <c r="D303" s="278"/>
      <c r="E303" s="278"/>
      <c r="F303" s="278"/>
      <c r="G303" s="278" t="str">
        <f ca="1">IFERROR(__xludf.DUMMYFUNCTION("""COMPUTED_VALUE"""),"3 days before ETD")</f>
        <v>3 days before ETD</v>
      </c>
      <c r="H303" s="278"/>
      <c r="I303" s="280" t="str">
        <f ca="1">IFERROR(__xludf.DUMMYFUNCTION("""COMPUTED_VALUE"""),"2 days before ETD")</f>
        <v>2 days before ETD</v>
      </c>
      <c r="J303" s="280" t="str">
        <f ca="1">IFERROR(__xludf.DUMMYFUNCTION("""COMPUTED_VALUE"""),"1 days before ETD")</f>
        <v>1 days before ETD</v>
      </c>
      <c r="K303" s="280" t="str">
        <f ca="1">IFERROR(__xludf.DUMMYFUNCTION("""COMPUTED_VALUE"""),"SHOW ON B/L")</f>
        <v>SHOW ON B/L</v>
      </c>
      <c r="L303" s="278"/>
      <c r="M303" s="278"/>
    </row>
    <row r="304" spans="1:13" ht="18.75" hidden="1">
      <c r="A304" s="278" t="str">
        <f ca="1">IFERROR(__xludf.DUMMYFUNCTION("""COMPUTED_VALUE"""),"CHT")</f>
        <v>CHT</v>
      </c>
      <c r="B304" s="278" t="str">
        <f ca="1">IFERROR(__xludf.DUMMYFUNCTION("""COMPUTED_VALUE"""),"TS TIANJIN V.25007N")</f>
        <v>TS TIANJIN V.25007N</v>
      </c>
      <c r="C304" s="279" t="str">
        <f ca="1">IFERROR(__xludf.DUMMYFUNCTION("""COMPUTED_VALUE"""),"THBKK")</f>
        <v>THBKK</v>
      </c>
      <c r="D304" s="282">
        <f ca="1">IFERROR(__xludf.DUMMYFUNCTION("""COMPUTED_VALUE"""),45907.3333333333)</f>
        <v>45907.333333333299</v>
      </c>
      <c r="E304" s="278" t="str">
        <f ca="1">IFERROR(__xludf.DUMMYFUNCTION("""COMPUTED_VALUE"""),"32.76 08/07/2025")</f>
        <v>32.76 08/07/2025</v>
      </c>
      <c r="F304" s="282">
        <f ca="1">IFERROR(__xludf.DUMMYFUNCTION("""COMPUTED_VALUE"""),45968.625)</f>
        <v>45968.625</v>
      </c>
      <c r="G304" s="282">
        <f ca="1">IFERROR(__xludf.DUMMYFUNCTION("""COMPUTED_VALUE"""),45968.625)</f>
        <v>45968.625</v>
      </c>
      <c r="H304" s="282">
        <f ca="1">IFERROR(__xludf.DUMMYFUNCTION("""COMPUTED_VALUE"""),45968.625)</f>
        <v>45968.625</v>
      </c>
      <c r="I304" s="280" t="str">
        <f ca="1">IFERROR(__xludf.DUMMYFUNCTION("""COMPUTED_VALUE"""),"14/07/2025 15:00")</f>
        <v>14/07/2025 15:00</v>
      </c>
      <c r="J304" s="280" t="str">
        <f ca="1">IFERROR(__xludf.DUMMYFUNCTION("""COMPUTED_VALUE"""),"15/07/2025 16:00")</f>
        <v>15/07/2025 16:00</v>
      </c>
      <c r="K304" s="280" t="str">
        <f ca="1">IFERROR(__xludf.DUMMYFUNCTION("""COMPUTED_VALUE"""),"16/07/2025 18:00")</f>
        <v>16/07/2025 18:00</v>
      </c>
      <c r="L304" s="278" t="str">
        <f ca="1">IFERROR(__xludf.DUMMYFUNCTION("""COMPUTED_VALUE"""),"16/07/2025  18:00")</f>
        <v>16/07/2025  18:00</v>
      </c>
      <c r="M304" s="278" t="str">
        <f ca="1">IFERROR(__xludf.DUMMYFUNCTION("""COMPUTED_VALUE"""),"17/07/2025 MORNING")</f>
        <v>17/07/2025 MORNING</v>
      </c>
    </row>
    <row r="305" spans="1:13" ht="18.75" hidden="1">
      <c r="A305" s="278"/>
      <c r="B305" s="278"/>
      <c r="C305" s="279" t="str">
        <f ca="1">IFERROR(__xludf.DUMMYFUNCTION("""COMPUTED_VALUE"""),"THLCB")</f>
        <v>THLCB</v>
      </c>
      <c r="D305" s="282">
        <f ca="1">IFERROR(__xludf.DUMMYFUNCTION("""COMPUTED_VALUE"""),45937.1666666666)</f>
        <v>45937.166666666599</v>
      </c>
      <c r="E305" s="278"/>
      <c r="F305" s="278" t="str">
        <f ca="1">IFERROR(__xludf.DUMMYFUNCTION("""COMPUTED_VALUE"""),"14/07/2025 15:00")</f>
        <v>14/07/2025 15:00</v>
      </c>
      <c r="G305" s="278" t="str">
        <f ca="1">IFERROR(__xludf.DUMMYFUNCTION("""COMPUTED_VALUE"""),"14/07/2025 15:00")</f>
        <v>14/07/2025 15:00</v>
      </c>
      <c r="H305" s="278" t="str">
        <f ca="1">IFERROR(__xludf.DUMMYFUNCTION("""COMPUTED_VALUE"""),"14/07/2025 15:00")</f>
        <v>14/07/2025 15:00</v>
      </c>
      <c r="I305" s="280" t="str">
        <f ca="1">IFERROR(__xludf.DUMMYFUNCTION("""COMPUTED_VALUE"""),"15/07/2025 15:00")</f>
        <v>15/07/2025 15:00</v>
      </c>
      <c r="J305" s="280" t="str">
        <f ca="1">IFERROR(__xludf.DUMMYFUNCTION("""COMPUTED_VALUE"""),"16/07/2025 16:00")</f>
        <v>16/07/2025 16:00</v>
      </c>
      <c r="K305" s="280" t="str">
        <f ca="1">IFERROR(__xludf.DUMMYFUNCTION("""COMPUTED_VALUE"""),"17/07/2025 13:00")</f>
        <v>17/07/2025 13:00</v>
      </c>
      <c r="L305" s="278" t="str">
        <f ca="1">IFERROR(__xludf.DUMMYFUNCTION("""COMPUTED_VALUE"""),"17/07/2025  11:55")</f>
        <v>17/07/2025  11:55</v>
      </c>
      <c r="M305" s="278" t="str">
        <f ca="1">IFERROR(__xludf.DUMMYFUNCTION("""COMPUTED_VALUE"""),"17/07/2025 NOON")</f>
        <v>17/07/2025 NOON</v>
      </c>
    </row>
    <row r="306" spans="1:13" ht="18.75" hidden="1">
      <c r="A306" s="278" t="str">
        <f ca="1">IFERROR(__xludf.DUMMYFUNCTION("""COMPUTED_VALUE"""),"TRX")</f>
        <v>TRX</v>
      </c>
      <c r="B306" s="278" t="str">
        <f ca="1">IFERROR(__xludf.DUMMYFUNCTION("""COMPUTED_VALUE"""),"LALIT BHUM V.031N")</f>
        <v>LALIT BHUM V.031N</v>
      </c>
      <c r="C306" s="279" t="str">
        <f ca="1">IFERROR(__xludf.DUMMYFUNCTION("""COMPUTED_VALUE"""),"THBKK")</f>
        <v>THBKK</v>
      </c>
      <c r="D306" s="278" t="str">
        <f ca="1">IFERROR(__xludf.DUMMYFUNCTION("""COMPUTED_VALUE"""),"15/07/2025 19:30")</f>
        <v>15/07/2025 19:30</v>
      </c>
      <c r="E306" s="278" t="str">
        <f ca="1">IFERROR(__xludf.DUMMYFUNCTION("""COMPUTED_VALUE"""),"32.92 09/07/2025")</f>
        <v>32.92 09/07/2025</v>
      </c>
      <c r="F306" s="278" t="str">
        <f ca="1">IFERROR(__xludf.DUMMYFUNCTION("""COMPUTED_VALUE"""),"14/07/2025 15:00")</f>
        <v>14/07/2025 15:00</v>
      </c>
      <c r="G306" s="278" t="str">
        <f ca="1">IFERROR(__xludf.DUMMYFUNCTION("""COMPUTED_VALUE"""),"15/07/2025 15:00")</f>
        <v>15/07/2025 15:00</v>
      </c>
      <c r="H306" s="278" t="str">
        <f ca="1">IFERROR(__xludf.DUMMYFUNCTION("""COMPUTED_VALUE"""),"15/07/2025 15:00")</f>
        <v>15/07/2025 15:00</v>
      </c>
      <c r="I306" s="280" t="str">
        <f ca="1">IFERROR(__xludf.DUMMYFUNCTION("""COMPUTED_VALUE"""),"16/07/2025 15:00")</f>
        <v>16/07/2025 15:00</v>
      </c>
      <c r="J306" s="280" t="str">
        <f ca="1">IFERROR(__xludf.DUMMYFUNCTION("""COMPUTED_VALUE"""),"17/07/2025 16:00")</f>
        <v>17/07/2025 16:00</v>
      </c>
      <c r="K306" s="280" t="str">
        <f ca="1">IFERROR(__xludf.DUMMYFUNCTION("""COMPUTED_VALUE"""),"18/07/2025 16:30")</f>
        <v>18/07/2025 16:30</v>
      </c>
      <c r="L306" s="278" t="str">
        <f ca="1">IFERROR(__xludf.DUMMYFUNCTION("""COMPUTED_VALUE"""),"18/07/2025  15:00")</f>
        <v>18/07/2025  15:00</v>
      </c>
      <c r="M306" s="278" t="str">
        <f ca="1">IFERROR(__xludf.DUMMYFUNCTION("""COMPUTED_VALUE"""),"21/07/2025 MORNING")</f>
        <v>21/07/2025 MORNING</v>
      </c>
    </row>
    <row r="307" spans="1:13" ht="18.75" hidden="1">
      <c r="A307" s="278"/>
      <c r="B307" s="278"/>
      <c r="C307" s="279" t="str">
        <f ca="1">IFERROR(__xludf.DUMMYFUNCTION("""COMPUTED_VALUE"""),"THLCB")</f>
        <v>THLCB</v>
      </c>
      <c r="D307" s="278" t="str">
        <f ca="1">IFERROR(__xludf.DUMMYFUNCTION("""COMPUTED_VALUE"""),"17/07/2025 09:00")</f>
        <v>17/07/2025 09:00</v>
      </c>
      <c r="E307" s="278"/>
      <c r="F307" s="278" t="str">
        <f ca="1">IFERROR(__xludf.DUMMYFUNCTION("""COMPUTED_VALUE"""),"15/07/2025 15:00")</f>
        <v>15/07/2025 15:00</v>
      </c>
      <c r="G307" s="278" t="str">
        <f ca="1">IFERROR(__xludf.DUMMYFUNCTION("""COMPUTED_VALUE"""),"16/07/2025 15:00")</f>
        <v>16/07/2025 15:00</v>
      </c>
      <c r="H307" s="278" t="str">
        <f ca="1">IFERROR(__xludf.DUMMYFUNCTION("""COMPUTED_VALUE"""),"16/07/2025 15:00")</f>
        <v>16/07/2025 15:00</v>
      </c>
      <c r="I307" s="280" t="str">
        <f ca="1">IFERROR(__xludf.DUMMYFUNCTION("""COMPUTED_VALUE"""),"17/07/2025 15:00")</f>
        <v>17/07/2025 15:00</v>
      </c>
      <c r="J307" s="280" t="str">
        <f ca="1">IFERROR(__xludf.DUMMYFUNCTION("""COMPUTED_VALUE"""),"18/07/2025 16:00")</f>
        <v>18/07/2025 16:00</v>
      </c>
      <c r="K307" s="280" t="str">
        <f ca="1">IFERROR(__xludf.DUMMYFUNCTION("""COMPUTED_VALUE"""),"19/07/2025 15:00")</f>
        <v>19/07/2025 15:00</v>
      </c>
      <c r="L307" s="278" t="str">
        <f ca="1">IFERROR(__xludf.DUMMYFUNCTION("""COMPUTED_VALUE"""),"19/07/2025  16:42")</f>
        <v>19/07/2025  16:42</v>
      </c>
      <c r="M307" s="278" t="str">
        <f ca="1">IFERROR(__xludf.DUMMYFUNCTION("""COMPUTED_VALUE"""),"21/07/2025 MORNING")</f>
        <v>21/07/2025 MORNING</v>
      </c>
    </row>
    <row r="308" spans="1:13" ht="18.75" hidden="1">
      <c r="A308" s="360" t="str">
        <f ca="1">IFERROR(__xludf.DUMMYFUNCTION("""COMPUTED_VALUE"""),"CHT")</f>
        <v>CHT</v>
      </c>
      <c r="B308" s="360" t="str">
        <f ca="1">IFERROR(__xludf.DUMMYFUNCTION("""COMPUTED_VALUE"""),"KMTC TAIPEIS V.2508N")</f>
        <v>KMTC TAIPEIS V.2508N</v>
      </c>
      <c r="C308" s="361" t="str">
        <f ca="1">IFERROR(__xludf.DUMMYFUNCTION("""COMPUTED_VALUE"""),"THBKK")</f>
        <v>THBKK</v>
      </c>
      <c r="D308" s="360" t="str">
        <f ca="1">IFERROR(__xludf.DUMMYFUNCTION("""COMPUTED_VALUE"""),"16/07/2025 08:00")</f>
        <v>16/07/2025 08:00</v>
      </c>
      <c r="E308" s="360" t="str">
        <f ca="1">IFERROR(__xludf.DUMMYFUNCTION("""COMPUTED_VALUE"""),"32.82  11/07/2025")</f>
        <v>32.82  11/07/2025</v>
      </c>
      <c r="F308" s="360" t="str">
        <f ca="1">IFERROR(__xludf.DUMMYFUNCTION("""COMPUTED_VALUE"""),"15/07/2025 15:00")</f>
        <v>15/07/2025 15:00</v>
      </c>
      <c r="G308" s="360" t="str">
        <f ca="1">IFERROR(__xludf.DUMMYFUNCTION("""COMPUTED_VALUE"""),"16/07/2025 15:00")</f>
        <v>16/07/2025 15:00</v>
      </c>
      <c r="H308" s="360" t="str">
        <f ca="1">IFERROR(__xludf.DUMMYFUNCTION("""COMPUTED_VALUE"""),"16/07/2025 15:00")</f>
        <v>16/07/2025 15:00</v>
      </c>
      <c r="I308" s="362" t="str">
        <f ca="1">IFERROR(__xludf.DUMMYFUNCTION("""COMPUTED_VALUE"""),"17/07/2025 15:00")</f>
        <v>17/07/2025 15:00</v>
      </c>
      <c r="J308" s="362" t="str">
        <f ca="1">IFERROR(__xludf.DUMMYFUNCTION("""COMPUTED_VALUE"""),"18/07/2025 16:00")</f>
        <v>18/07/2025 16:00</v>
      </c>
      <c r="K308" s="362" t="str">
        <f ca="1">IFERROR(__xludf.DUMMYFUNCTION("""COMPUTED_VALUE"""),"19/07/2025 17:00")</f>
        <v>19/07/2025 17:00</v>
      </c>
      <c r="L308" s="360" t="str">
        <f ca="1">IFERROR(__xludf.DUMMYFUNCTION("""COMPUTED_VALUE"""),"19/07/2025  17:00")</f>
        <v>19/07/2025  17:00</v>
      </c>
      <c r="M308" s="360" t="str">
        <f ca="1">IFERROR(__xludf.DUMMYFUNCTION("""COMPUTED_VALUE"""),"21/07/2025 MORNING")</f>
        <v>21/07/2025 MORNING</v>
      </c>
    </row>
    <row r="309" spans="1:13" ht="18.75" hidden="1">
      <c r="A309" s="360"/>
      <c r="B309" s="360"/>
      <c r="C309" s="361" t="str">
        <f ca="1">IFERROR(__xludf.DUMMYFUNCTION("""COMPUTED_VALUE"""),"THLCB")</f>
        <v>THLCB</v>
      </c>
      <c r="D309" s="360" t="str">
        <f ca="1">IFERROR(__xludf.DUMMYFUNCTION("""COMPUTED_VALUE"""),"17/07/2025 04:00")</f>
        <v>17/07/2025 04:00</v>
      </c>
      <c r="E309" s="360"/>
      <c r="F309" s="360" t="str">
        <f ca="1">IFERROR(__xludf.DUMMYFUNCTION("""COMPUTED_VALUE"""),"15/07/2025 15:00")</f>
        <v>15/07/2025 15:00</v>
      </c>
      <c r="G309" s="360" t="str">
        <f ca="1">IFERROR(__xludf.DUMMYFUNCTION("""COMPUTED_VALUE"""),"16/07/2025 15:00")</f>
        <v>16/07/2025 15:00</v>
      </c>
      <c r="H309" s="360" t="str">
        <f ca="1">IFERROR(__xludf.DUMMYFUNCTION("""COMPUTED_VALUE"""),"16/07/2025 15:00")</f>
        <v>16/07/2025 15:00</v>
      </c>
      <c r="I309" s="362" t="str">
        <f ca="1">IFERROR(__xludf.DUMMYFUNCTION("""COMPUTED_VALUE"""),"17/07/2025 15:00")</f>
        <v>17/07/2025 15:00</v>
      </c>
      <c r="J309" s="362" t="str">
        <f ca="1">IFERROR(__xludf.DUMMYFUNCTION("""COMPUTED_VALUE"""),"18/07/2025 16:00")</f>
        <v>18/07/2025 16:00</v>
      </c>
      <c r="K309" s="362" t="str">
        <f ca="1">IFERROR(__xludf.DUMMYFUNCTION("""COMPUTED_VALUE"""),"21/07/2025 23:00")</f>
        <v>21/07/2025 23:00</v>
      </c>
      <c r="L309" s="360" t="str">
        <f ca="1">IFERROR(__xludf.DUMMYFUNCTION("""COMPUTED_VALUE"""),"22/07/2025 03.00")</f>
        <v>22/07/2025 03.00</v>
      </c>
      <c r="M309" s="360" t="str">
        <f ca="1">IFERROR(__xludf.DUMMYFUNCTION("""COMPUTED_VALUE"""),"22/07/2025 NOON")</f>
        <v>22/07/2025 NOON</v>
      </c>
    </row>
    <row r="310" spans="1:13" ht="18.75" hidden="1">
      <c r="A310" s="360" t="str">
        <f ca="1">IFERROR(__xludf.DUMMYFUNCTION("""COMPUTED_VALUE"""),"CVT")</f>
        <v>CVT</v>
      </c>
      <c r="B310" s="360" t="str">
        <f ca="1">IFERROR(__xludf.DUMMYFUNCTION("""COMPUTED_VALUE"""),"KMTC POHANG V.2508N")</f>
        <v>KMTC POHANG V.2508N</v>
      </c>
      <c r="C310" s="361" t="str">
        <f ca="1">IFERROR(__xludf.DUMMYFUNCTION("""COMPUTED_VALUE"""),"THBKK")</f>
        <v>THBKK</v>
      </c>
      <c r="D310" s="360" t="str">
        <f ca="1">IFERROR(__xludf.DUMMYFUNCTION("""COMPUTED_VALUE"""),"17/07/2025 08:00")</f>
        <v>17/07/2025 08:00</v>
      </c>
      <c r="E310" s="360" t="str">
        <f ca="1">IFERROR(__xludf.DUMMYFUNCTION("""COMPUTED_VALUE"""),"32.92 09/07/2025")</f>
        <v>32.92 09/07/2025</v>
      </c>
      <c r="F310" s="360" t="str">
        <f ca="1">IFERROR(__xludf.DUMMYFUNCTION("""COMPUTED_VALUE"""),"14/07/2025 15:00")</f>
        <v>14/07/2025 15:00</v>
      </c>
      <c r="G310" s="360" t="str">
        <f ca="1">IFERROR(__xludf.DUMMYFUNCTION("""COMPUTED_VALUE"""),"14/07/2025 15:00")</f>
        <v>14/07/2025 15:00</v>
      </c>
      <c r="H310" s="360" t="str">
        <f ca="1">IFERROR(__xludf.DUMMYFUNCTION("""COMPUTED_VALUE"""),"15/07/2025 15:00")</f>
        <v>15/07/2025 15:00</v>
      </c>
      <c r="I310" s="362" t="str">
        <f ca="1">IFERROR(__xludf.DUMMYFUNCTION("""COMPUTED_VALUE"""),"16/07/2025 15:00")</f>
        <v>16/07/2025 15:00</v>
      </c>
      <c r="J310" s="362" t="str">
        <f ca="1">IFERROR(__xludf.DUMMYFUNCTION("""COMPUTED_VALUE"""),"17/07/2025 16:00")</f>
        <v>17/07/2025 16:00</v>
      </c>
      <c r="K310" s="362" t="str">
        <f ca="1">IFERROR(__xludf.DUMMYFUNCTION("""COMPUTED_VALUE"""),"18/07/2025 18:00")</f>
        <v>18/07/2025 18:00</v>
      </c>
      <c r="L310" s="360" t="str">
        <f ca="1">IFERROR(__xludf.DUMMYFUNCTION("""COMPUTED_VALUE"""),"18/07/2025  18:00")</f>
        <v>18/07/2025  18:00</v>
      </c>
      <c r="M310" s="360" t="str">
        <f ca="1">IFERROR(__xludf.DUMMYFUNCTION("""COMPUTED_VALUE"""),"21/07/2025 MORNING")</f>
        <v>21/07/2025 MORNING</v>
      </c>
    </row>
    <row r="311" spans="1:13" ht="18.75" hidden="1">
      <c r="A311" s="360"/>
      <c r="B311" s="360"/>
      <c r="C311" s="361" t="str">
        <f ca="1">IFERROR(__xludf.DUMMYFUNCTION("""COMPUTED_VALUE"""),"THLCB")</f>
        <v>THLCB</v>
      </c>
      <c r="D311" s="360" t="str">
        <f ca="1">IFERROR(__xludf.DUMMYFUNCTION("""COMPUTED_VALUE"""),"18/07/2025 04:00")</f>
        <v>18/07/2025 04:00</v>
      </c>
      <c r="E311" s="360"/>
      <c r="F311" s="360" t="str">
        <f ca="1">IFERROR(__xludf.DUMMYFUNCTION("""COMPUTED_VALUE"""),"14/07/2025 15:00")</f>
        <v>14/07/2025 15:00</v>
      </c>
      <c r="G311" s="360" t="str">
        <f ca="1">IFERROR(__xludf.DUMMYFUNCTION("""COMPUTED_VALUE"""),"15/07/2025 15:00")</f>
        <v>15/07/2025 15:00</v>
      </c>
      <c r="H311" s="360" t="str">
        <f ca="1">IFERROR(__xludf.DUMMYFUNCTION("""COMPUTED_VALUE"""),"16/07/2025 15:00")</f>
        <v>16/07/2025 15:00</v>
      </c>
      <c r="I311" s="362" t="str">
        <f ca="1">IFERROR(__xludf.DUMMYFUNCTION("""COMPUTED_VALUE"""),"17/07/2025 15:00")</f>
        <v>17/07/2025 15:00</v>
      </c>
      <c r="J311" s="362" t="str">
        <f ca="1">IFERROR(__xludf.DUMMYFUNCTION("""COMPUTED_VALUE"""),"19/07/2025 16:00")</f>
        <v>19/07/2025 16:00</v>
      </c>
      <c r="K311" s="362" t="str">
        <f ca="1">IFERROR(__xludf.DUMMYFUNCTION("""COMPUTED_VALUE"""),"20/07/2025 12:00")</f>
        <v>20/07/2025 12:00</v>
      </c>
      <c r="L311" s="360" t="str">
        <f ca="1">IFERROR(__xludf.DUMMYFUNCTION("""COMPUTED_VALUE"""),"20/07/2025  12:00")</f>
        <v>20/07/2025  12:00</v>
      </c>
      <c r="M311" s="360" t="str">
        <f ca="1">IFERROR(__xludf.DUMMYFUNCTION("""COMPUTED_VALUE"""),"21/07/2025 MORNING")</f>
        <v>21/07/2025 MORNING</v>
      </c>
    </row>
    <row r="312" spans="1:13" ht="18.75" hidden="1">
      <c r="A312" s="360" t="str">
        <f ca="1">IFERROR(__xludf.DUMMYFUNCTION("""COMPUTED_VALUE"""),"JTX")</f>
        <v>JTX</v>
      </c>
      <c r="B312" s="360" t="str">
        <f ca="1">IFERROR(__xludf.DUMMYFUNCTION("""COMPUTED_VALUE"""),"TS NAGOYA V.25012N")</f>
        <v>TS NAGOYA V.25012N</v>
      </c>
      <c r="C312" s="361" t="str">
        <f ca="1">IFERROR(__xludf.DUMMYFUNCTION("""COMPUTED_VALUE"""),"THLCB")</f>
        <v>THLCB</v>
      </c>
      <c r="D312" s="360" t="str">
        <f ca="1">IFERROR(__xludf.DUMMYFUNCTION("""COMPUTED_VALUE"""),"18/07/2025 22:00")</f>
        <v>18/07/2025 22:00</v>
      </c>
      <c r="E312" s="360" t="str">
        <f ca="1">IFERROR(__xludf.DUMMYFUNCTION("""COMPUTED_VALUE"""),"32.92 09/07/2025")</f>
        <v>32.92 09/07/2025</v>
      </c>
      <c r="F312" s="360" t="str">
        <f ca="1">IFERROR(__xludf.DUMMYFUNCTION("""COMPUTED_VALUE"""),"14/07/2025 15:00")</f>
        <v>14/07/2025 15:00</v>
      </c>
      <c r="G312" s="360" t="str">
        <f ca="1">IFERROR(__xludf.DUMMYFUNCTION("""COMPUTED_VALUE"""),"15/07/2025 15:00")</f>
        <v>15/07/2025 15:00</v>
      </c>
      <c r="H312" s="360" t="str">
        <f ca="1">IFERROR(__xludf.DUMMYFUNCTION("""COMPUTED_VALUE"""),"15/07/2025 15:00")</f>
        <v>15/07/2025 15:00</v>
      </c>
      <c r="I312" s="362" t="str">
        <f ca="1">IFERROR(__xludf.DUMMYFUNCTION("""COMPUTED_VALUE"""),"16/07/2025 15:00")</f>
        <v>16/07/2025 15:00</v>
      </c>
      <c r="J312" s="362" t="str">
        <f ca="1">IFERROR(__xludf.DUMMYFUNCTION("""COMPUTED_VALUE"""),"17/07/2025 16:00")</f>
        <v>17/07/2025 16:00</v>
      </c>
      <c r="K312" s="362" t="str">
        <f ca="1">IFERROR(__xludf.DUMMYFUNCTION("""COMPUTED_VALUE"""),"19/07/2025 06:00")</f>
        <v>19/07/2025 06:00</v>
      </c>
      <c r="L312" s="360" t="str">
        <f ca="1">IFERROR(__xludf.DUMMYFUNCTION("""COMPUTED_VALUE"""),"19/07/2025  09:00")</f>
        <v>19/07/2025  09:00</v>
      </c>
      <c r="M312" s="360" t="str">
        <f ca="1">IFERROR(__xludf.DUMMYFUNCTION("""COMPUTED_VALUE"""),"21/07/2025 MORNING")</f>
        <v>21/07/2025 MORNING</v>
      </c>
    </row>
    <row r="313" spans="1:13" ht="18.75" hidden="1">
      <c r="A313" s="360"/>
      <c r="B313" s="360"/>
      <c r="C313" s="361"/>
      <c r="D313" s="360"/>
      <c r="E313" s="360"/>
      <c r="F313" s="360"/>
      <c r="G313" s="360"/>
      <c r="H313" s="360"/>
      <c r="I313" s="362"/>
      <c r="J313" s="362"/>
      <c r="K313" s="362"/>
      <c r="L313" s="360"/>
      <c r="M313" s="360"/>
    </row>
    <row r="314" spans="1:13" ht="18.75" hidden="1">
      <c r="A314" s="360"/>
      <c r="B314" s="360" t="str">
        <f ca="1">IFERROR(__xludf.DUMMYFUNCTION("""COMPUTED_VALUE"""),"WEEK 28/2025")</f>
        <v>WEEK 28/2025</v>
      </c>
      <c r="C314" s="361" t="str">
        <f ca="1">IFERROR(__xludf.DUMMYFUNCTION("""COMPUTED_VALUE"""),"10 JULY 2025 Holidays Asalha Bucha Day")</f>
        <v>10 JULY 2025 Holidays Asalha Bucha Day</v>
      </c>
      <c r="D314" s="360"/>
      <c r="E314" s="360"/>
      <c r="F314" s="360"/>
      <c r="G314" s="360"/>
      <c r="H314" s="360"/>
      <c r="I314" s="362"/>
      <c r="J314" s="362"/>
      <c r="K314" s="362"/>
      <c r="L314" s="360"/>
      <c r="M314" s="360"/>
    </row>
    <row r="315" spans="1:13" ht="18.75" hidden="1">
      <c r="A315" s="360"/>
      <c r="B315" s="360"/>
      <c r="C315" s="361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315" s="360"/>
      <c r="E315" s="360"/>
      <c r="F315" s="360"/>
      <c r="G315" s="360"/>
      <c r="H315" s="360"/>
      <c r="I315" s="362"/>
      <c r="J315" s="362"/>
      <c r="K315" s="362"/>
      <c r="L315" s="360"/>
      <c r="M315" s="360"/>
    </row>
    <row r="316" spans="1:13" ht="18.75" hidden="1">
      <c r="A316" s="360" t="str">
        <f ca="1">IFERROR(__xludf.DUMMYFUNCTION("""COMPUTED_VALUE"""),"SERVICE")</f>
        <v>SERVICE</v>
      </c>
      <c r="B316" s="360" t="str">
        <f ca="1">IFERROR(__xludf.DUMMYFUNCTION("""COMPUTED_VALUE"""),"VESSEL NAME")</f>
        <v>VESSEL NAME</v>
      </c>
      <c r="C316" s="361" t="str">
        <f ca="1">IFERROR(__xludf.DUMMYFUNCTION("""COMPUTED_VALUE"""),"PORT")</f>
        <v>PORT</v>
      </c>
      <c r="D316" s="360" t="str">
        <f ca="1">IFERROR(__xludf.DUMMYFUNCTION("""COMPUTED_VALUE"""),"PERFOMA ETD")</f>
        <v>PERFOMA ETD</v>
      </c>
      <c r="E316" s="360" t="str">
        <f ca="1">IFERROR(__xludf.DUMMYFUNCTION("""COMPUTED_VALUE"""),"EX.RATE/DATE/")</f>
        <v>EX.RATE/DATE/</v>
      </c>
      <c r="F316" s="360" t="str">
        <f ca="1">IFERROR(__xludf.DUMMYFUNCTION("""COMPUTED_VALUE"""),"SI CUT OFF USA")</f>
        <v>SI CUT OFF USA</v>
      </c>
      <c r="G316" s="360" t="str">
        <f ca="1">IFERROR(__xludf.DUMMYFUNCTION("""COMPUTED_VALUE"""),"SI CUT OFF")</f>
        <v>SI CUT OFF</v>
      </c>
      <c r="H316" s="360" t="str">
        <f ca="1">IFERROR(__xludf.DUMMYFUNCTION("""COMPUTED_VALUE"""),"B/L CFM USA")</f>
        <v>B/L CFM USA</v>
      </c>
      <c r="I316" s="362" t="str">
        <f ca="1">IFERROR(__xludf.DUMMYFUNCTION("""COMPUTED_VALUE"""),"B/L CFM CHINA,JP,VN")</f>
        <v>B/L CFM CHINA,JP,VN</v>
      </c>
      <c r="J316" s="362" t="str">
        <f ca="1">IFERROR(__xludf.DUMMYFUNCTION("""COMPUTED_VALUE"""),"B/L CONFIRM")</f>
        <v>B/L CONFIRM</v>
      </c>
      <c r="K316" s="362" t="str">
        <f ca="1">IFERROR(__xludf.DUMMYFUNCTION("""COMPUTED_VALUE"""),"ETD")</f>
        <v>ETD</v>
      </c>
      <c r="L316" s="360" t="str">
        <f ca="1">IFERROR(__xludf.DUMMYFUNCTION("""COMPUTED_VALUE"""),"ATD")</f>
        <v>ATD</v>
      </c>
      <c r="M316" s="360" t="str">
        <f ca="1">IFERROR(__xludf.DUMMYFUNCTION("""COMPUTED_VALUE"""),"B/L ISSUED DATE")</f>
        <v>B/L ISSUED DATE</v>
      </c>
    </row>
    <row r="317" spans="1:13" ht="18.75" hidden="1">
      <c r="A317" s="360"/>
      <c r="B317" s="360"/>
      <c r="C317" s="361"/>
      <c r="D317" s="360"/>
      <c r="E317" s="360" t="str">
        <f ca="1">IFERROR(__xludf.DUMMYFUNCTION("""COMPUTED_VALUE"""),"BANGKOK BANK")</f>
        <v>BANGKOK BANK</v>
      </c>
      <c r="F317" s="360" t="str">
        <f ca="1">IFERROR(__xludf.DUMMYFUNCTION("""COMPUTED_VALUE"""),"4 days before ETD")</f>
        <v>4 days before ETD</v>
      </c>
      <c r="G317" s="360"/>
      <c r="H317" s="360" t="str">
        <f ca="1">IFERROR(__xludf.DUMMYFUNCTION("""COMPUTED_VALUE"""),"3 days before ETD")</f>
        <v>3 days before ETD</v>
      </c>
      <c r="I317" s="362" t="str">
        <f ca="1">IFERROR(__xludf.DUMMYFUNCTION("""COMPUTED_VALUE"""),"Direct port CUT OFF")</f>
        <v>Direct port CUT OFF</v>
      </c>
      <c r="J317" s="362" t="str">
        <f ca="1">IFERROR(__xludf.DUMMYFUNCTION("""COMPUTED_VALUE"""),"Orther port CUT OFF")</f>
        <v>Orther port CUT OFF</v>
      </c>
      <c r="K317" s="362" t="str">
        <f ca="1">IFERROR(__xludf.DUMMYFUNCTION("""COMPUTED_VALUE"""),"ON BOARD DATE")</f>
        <v>ON BOARD DATE</v>
      </c>
      <c r="L317" s="360" t="str">
        <f ca="1">IFERROR(__xludf.DUMMYFUNCTION("""COMPUTED_VALUE"""),"วันเรือออกจริง")</f>
        <v>วันเรือออกจริง</v>
      </c>
      <c r="M317" s="360" t="str">
        <f ca="1">IFERROR(__xludf.DUMMYFUNCTION("""COMPUTED_VALUE"""),"วันปล่อยบีแอล")</f>
        <v>วันปล่อยบีแอล</v>
      </c>
    </row>
    <row r="318" spans="1:13" ht="18.75" hidden="1">
      <c r="A318" s="360"/>
      <c r="B318" s="360"/>
      <c r="C318" s="361"/>
      <c r="D318" s="360"/>
      <c r="E318" s="360"/>
      <c r="F318" s="360"/>
      <c r="G318" s="360" t="str">
        <f ca="1">IFERROR(__xludf.DUMMYFUNCTION("""COMPUTED_VALUE"""),"3 days before ETD")</f>
        <v>3 days before ETD</v>
      </c>
      <c r="H318" s="360"/>
      <c r="I318" s="362" t="str">
        <f ca="1">IFERROR(__xludf.DUMMYFUNCTION("""COMPUTED_VALUE"""),"2 days before ETD")</f>
        <v>2 days before ETD</v>
      </c>
      <c r="J318" s="362" t="str">
        <f ca="1">IFERROR(__xludf.DUMMYFUNCTION("""COMPUTED_VALUE"""),"1 days before ETD")</f>
        <v>1 days before ETD</v>
      </c>
      <c r="K318" s="362" t="str">
        <f ca="1">IFERROR(__xludf.DUMMYFUNCTION("""COMPUTED_VALUE"""),"SHOW ON B/L")</f>
        <v>SHOW ON B/L</v>
      </c>
      <c r="L318" s="360"/>
      <c r="M318" s="360"/>
    </row>
    <row r="319" spans="1:13" ht="18.75" hidden="1">
      <c r="A319" s="360" t="str">
        <f ca="1">IFERROR(__xludf.DUMMYFUNCTION("""COMPUTED_VALUE"""),"JHTS")</f>
        <v>JHTS</v>
      </c>
      <c r="B319" s="360" t="str">
        <f ca="1">IFERROR(__xludf.DUMMYFUNCTION("""COMPUTED_VALUE"""),"TS KWANGYANG V.25009N")</f>
        <v>TS KWANGYANG V.25009N</v>
      </c>
      <c r="C319" s="361" t="str">
        <f ca="1">IFERROR(__xludf.DUMMYFUNCTION("""COMPUTED_VALUE"""),"THBKK")</f>
        <v>THBKK</v>
      </c>
      <c r="D319" s="366">
        <f ca="1">IFERROR(__xludf.DUMMYFUNCTION("""COMPUTED_VALUE"""),45815.25)</f>
        <v>45815.25</v>
      </c>
      <c r="E319" s="136" t="str">
        <f ca="1">IFERROR(__xludf.DUMMYFUNCTION("""COMPUTED_VALUE"""),"32.74 02/07/2025")</f>
        <v>32.74 02/07/2025</v>
      </c>
      <c r="F319" s="143">
        <f ca="1">IFERROR(__xludf.DUMMYFUNCTION("""COMPUTED_VALUE"""),45845.625)</f>
        <v>45845.625</v>
      </c>
      <c r="G319" s="367">
        <f ca="1">IFERROR(__xludf.DUMMYFUNCTION("""COMPUTED_VALUE"""),45876.625)</f>
        <v>45876.625</v>
      </c>
      <c r="H319" s="143">
        <f ca="1">IFERROR(__xludf.DUMMYFUNCTION("""COMPUTED_VALUE"""),45876.625)</f>
        <v>45876.625</v>
      </c>
      <c r="I319" s="143">
        <f ca="1">IFERROR(__xludf.DUMMYFUNCTION("""COMPUTED_VALUE"""),45907.625)</f>
        <v>45907.625</v>
      </c>
      <c r="J319" s="143">
        <f ca="1">IFERROR(__xludf.DUMMYFUNCTION("""COMPUTED_VALUE"""),45968.6666666666)</f>
        <v>45968.666666666599</v>
      </c>
      <c r="K319" s="143">
        <f ca="1">IFERROR(__xludf.DUMMYFUNCTION("""COMPUTED_VALUE"""),45998.7708333333)</f>
        <v>45998.770833333299</v>
      </c>
      <c r="L319" s="143">
        <f ca="1">IFERROR(__xludf.DUMMYFUNCTION("""COMPUTED_VALUE"""),45998.75)</f>
        <v>45998.75</v>
      </c>
      <c r="M319" s="143" t="str">
        <f ca="1">IFERROR(__xludf.DUMMYFUNCTION("""COMPUTED_VALUE"""),"14/07/2025 MORNING")</f>
        <v>14/07/2025 MORNING</v>
      </c>
    </row>
    <row r="320" spans="1:13" ht="18.75" hidden="1">
      <c r="A320" s="360"/>
      <c r="B320" s="360"/>
      <c r="C320" s="361" t="str">
        <f ca="1">IFERROR(__xludf.DUMMYFUNCTION("""COMPUTED_VALUE"""),"THLCB")</f>
        <v>THLCB</v>
      </c>
      <c r="D320" s="366">
        <f ca="1">IFERROR(__xludf.DUMMYFUNCTION("""COMPUTED_VALUE"""),45845.25)</f>
        <v>45845.25</v>
      </c>
      <c r="E320" s="152"/>
      <c r="F320" s="156">
        <f ca="1">IFERROR(__xludf.DUMMYFUNCTION("""COMPUTED_VALUE"""),45876.625)</f>
        <v>45876.625</v>
      </c>
      <c r="G320" s="368">
        <f ca="1">IFERROR(__xludf.DUMMYFUNCTION("""COMPUTED_VALUE"""),45907.625)</f>
        <v>45907.625</v>
      </c>
      <c r="H320" s="156">
        <f ca="1">IFERROR(__xludf.DUMMYFUNCTION("""COMPUTED_VALUE"""),45907.625)</f>
        <v>45907.625</v>
      </c>
      <c r="I320" s="156">
        <f ca="1">IFERROR(__xludf.DUMMYFUNCTION("""COMPUTED_VALUE"""),45968.625)</f>
        <v>45968.625</v>
      </c>
      <c r="J320" s="156">
        <f ca="1">IFERROR(__xludf.DUMMYFUNCTION("""COMPUTED_VALUE"""),45998.6666666666)</f>
        <v>45998.666666666599</v>
      </c>
      <c r="K320" s="156" t="str">
        <f ca="1">IFERROR(__xludf.DUMMYFUNCTION("""COMPUTED_VALUE"""),"13/07/2025 16:00")</f>
        <v>13/07/2025 16:00</v>
      </c>
      <c r="L320" s="156" t="str">
        <f ca="1">IFERROR(__xludf.DUMMYFUNCTION("""COMPUTED_VALUE"""),"13/07/2025  17:00")</f>
        <v>13/07/2025  17:00</v>
      </c>
      <c r="M320" s="152" t="str">
        <f ca="1">IFERROR(__xludf.DUMMYFUNCTION("""COMPUTED_VALUE"""),"14/07/2025 MORNING")</f>
        <v>14/07/2025 MORNING</v>
      </c>
    </row>
    <row r="321" spans="1:13" ht="18.75" hidden="1">
      <c r="A321" s="360" t="str">
        <f ca="1">IFERROR(__xludf.DUMMYFUNCTION("""COMPUTED_VALUE"""),"TRX")</f>
        <v>TRX</v>
      </c>
      <c r="B321" s="360" t="str">
        <f ca="1">IFERROR(__xludf.DUMMYFUNCTION("""COMPUTED_VALUE"""),"MAKHA BHUM V.115N")</f>
        <v>MAKHA BHUM V.115N</v>
      </c>
      <c r="C321" s="361" t="str">
        <f ca="1">IFERROR(__xludf.DUMMYFUNCTION("""COMPUTED_VALUE"""),"THBKK")</f>
        <v>THBKK</v>
      </c>
      <c r="D321" s="366">
        <f ca="1">IFERROR(__xludf.DUMMYFUNCTION("""COMPUTED_VALUE"""),45876.8125)</f>
        <v>45876.8125</v>
      </c>
      <c r="E321" s="360" t="str">
        <f ca="1">IFERROR(__xludf.DUMMYFUNCTION("""COMPUTED_VALUE"""),"32.74 02/07/2025")</f>
        <v>32.74 02/07/2025</v>
      </c>
      <c r="F321" s="366">
        <f ca="1">IFERROR(__xludf.DUMMYFUNCTION("""COMPUTED_VALUE"""),45845.625)</f>
        <v>45845.625</v>
      </c>
      <c r="G321" s="366">
        <f ca="1">IFERROR(__xludf.DUMMYFUNCTION("""COMPUTED_VALUE"""),45876.625)</f>
        <v>45876.625</v>
      </c>
      <c r="H321" s="366">
        <f ca="1">IFERROR(__xludf.DUMMYFUNCTION("""COMPUTED_VALUE"""),45876.625)</f>
        <v>45876.625</v>
      </c>
      <c r="I321" s="369">
        <f ca="1">IFERROR(__xludf.DUMMYFUNCTION("""COMPUTED_VALUE"""),45907.625)</f>
        <v>45907.625</v>
      </c>
      <c r="J321" s="369">
        <f ca="1">IFERROR(__xludf.DUMMYFUNCTION("""COMPUTED_VALUE"""),45907.6666666666)</f>
        <v>45907.666666666599</v>
      </c>
      <c r="K321" s="370">
        <f ca="1">IFERROR(__xludf.DUMMYFUNCTION("""COMPUTED_VALUE"""),45968.625)</f>
        <v>45968.625</v>
      </c>
      <c r="L321" s="366">
        <f ca="1">IFERROR(__xludf.DUMMYFUNCTION("""COMPUTED_VALUE"""),45968.625)</f>
        <v>45968.625</v>
      </c>
      <c r="M321" s="360" t="str">
        <f ca="1">IFERROR(__xludf.DUMMYFUNCTION("""COMPUTED_VALUE"""),"14/07/2025 MORNING")</f>
        <v>14/07/2025 MORNING</v>
      </c>
    </row>
    <row r="322" spans="1:13" ht="18.75" hidden="1">
      <c r="A322" s="360"/>
      <c r="B322" s="360"/>
      <c r="C322" s="361" t="str">
        <f ca="1">IFERROR(__xludf.DUMMYFUNCTION("""COMPUTED_VALUE"""),"THLCB")</f>
        <v>THLCB</v>
      </c>
      <c r="D322" s="366">
        <f ca="1">IFERROR(__xludf.DUMMYFUNCTION("""COMPUTED_VALUE"""),45937.375)</f>
        <v>45937.375</v>
      </c>
      <c r="E322" s="360"/>
      <c r="F322" s="366">
        <f ca="1">IFERROR(__xludf.DUMMYFUNCTION("""COMPUTED_VALUE"""),45845.625)</f>
        <v>45845.625</v>
      </c>
      <c r="G322" s="366">
        <f ca="1">IFERROR(__xludf.DUMMYFUNCTION("""COMPUTED_VALUE"""),45876.625)</f>
        <v>45876.625</v>
      </c>
      <c r="H322" s="366">
        <f ca="1">IFERROR(__xludf.DUMMYFUNCTION("""COMPUTED_VALUE"""),45876.625)</f>
        <v>45876.625</v>
      </c>
      <c r="I322" s="369">
        <f ca="1">IFERROR(__xludf.DUMMYFUNCTION("""COMPUTED_VALUE"""),45907.625)</f>
        <v>45907.625</v>
      </c>
      <c r="J322" s="369">
        <f ca="1">IFERROR(__xludf.DUMMYFUNCTION("""COMPUTED_VALUE"""),45968.6666666666)</f>
        <v>45968.666666666599</v>
      </c>
      <c r="K322" s="370">
        <f ca="1">IFERROR(__xludf.DUMMYFUNCTION("""COMPUTED_VALUE"""),45998.5208333333)</f>
        <v>45998.520833333299</v>
      </c>
      <c r="L322" s="366">
        <f ca="1">IFERROR(__xludf.DUMMYFUNCTION("""COMPUTED_VALUE"""),45998.4638888888)</f>
        <v>45998.4638888888</v>
      </c>
      <c r="M322" s="360" t="str">
        <f ca="1">IFERROR(__xludf.DUMMYFUNCTION("""COMPUTED_VALUE"""),"14/07/2025 MORNING")</f>
        <v>14/07/2025 MORNING</v>
      </c>
    </row>
    <row r="323" spans="1:13" ht="18.75" hidden="1">
      <c r="A323" s="360" t="str">
        <f ca="1">IFERROR(__xludf.DUMMYFUNCTION("""COMPUTED_VALUE"""),"CHT")</f>
        <v>CHT</v>
      </c>
      <c r="B323" s="360" t="str">
        <f ca="1">IFERROR(__xludf.DUMMYFUNCTION("""COMPUTED_VALUE"""),"SAWASDEE RIGEL V.2507N")</f>
        <v>SAWASDEE RIGEL V.2507N</v>
      </c>
      <c r="C323" s="361" t="str">
        <f ca="1">IFERROR(__xludf.DUMMYFUNCTION("""COMPUTED_VALUE"""),"THBKK")</f>
        <v>THBKK</v>
      </c>
      <c r="D323" s="360" t="str">
        <f ca="1">IFERROR(__xludf.DUMMYFUNCTION("""COMPUTED_VALUE"""),"25/06/2025 08:00")</f>
        <v>25/06/2025 08:00</v>
      </c>
      <c r="E323" s="360" t="str">
        <f ca="1">IFERROR(__xludf.DUMMYFUNCTION("""COMPUTED_VALUE"""),"32.84 27/06/2025")</f>
        <v>32.84 27/06/2025</v>
      </c>
      <c r="F323" s="366">
        <f ca="1">IFERROR(__xludf.DUMMYFUNCTION("""COMPUTED_VALUE"""),45754.625)</f>
        <v>45754.625</v>
      </c>
      <c r="G323" s="366">
        <f ca="1">IFERROR(__xludf.DUMMYFUNCTION("""COMPUTED_VALUE"""),45754.625)</f>
        <v>45754.625</v>
      </c>
      <c r="H323" s="366">
        <f ca="1">IFERROR(__xludf.DUMMYFUNCTION("""COMPUTED_VALUE"""),45754.625)</f>
        <v>45754.625</v>
      </c>
      <c r="I323" s="369">
        <f ca="1">IFERROR(__xludf.DUMMYFUNCTION("""COMPUTED_VALUE"""),45754.625)</f>
        <v>45754.625</v>
      </c>
      <c r="J323" s="369">
        <f ca="1">IFERROR(__xludf.DUMMYFUNCTION("""COMPUTED_VALUE"""),45845.6666666666)</f>
        <v>45845.666666666599</v>
      </c>
      <c r="K323" s="370">
        <f ca="1">IFERROR(__xludf.DUMMYFUNCTION("""COMPUTED_VALUE"""),45876.8125)</f>
        <v>45876.8125</v>
      </c>
      <c r="L323" s="366">
        <f ca="1">IFERROR(__xludf.DUMMYFUNCTION("""COMPUTED_VALUE"""),45876.5416666666)</f>
        <v>45876.541666666599</v>
      </c>
      <c r="M323" s="360" t="str">
        <f ca="1">IFERROR(__xludf.DUMMYFUNCTION("""COMPUTED_VALUE"""),"09/07/2025 MORNING")</f>
        <v>09/07/2025 MORNING</v>
      </c>
    </row>
    <row r="324" spans="1:13" ht="18.75" hidden="1">
      <c r="A324" s="360"/>
      <c r="B324" s="360"/>
      <c r="C324" s="361" t="str">
        <f ca="1">IFERROR(__xludf.DUMMYFUNCTION("""COMPUTED_VALUE"""),"THLCB")</f>
        <v>THLCB</v>
      </c>
      <c r="D324" s="360" t="str">
        <f ca="1">IFERROR(__xludf.DUMMYFUNCTION("""COMPUTED_VALUE"""),"26/06/2025 04:00")</f>
        <v>26/06/2025 04:00</v>
      </c>
      <c r="E324" s="360"/>
      <c r="F324" s="366">
        <f ca="1">IFERROR(__xludf.DUMMYFUNCTION("""COMPUTED_VALUE"""),45754.625)</f>
        <v>45754.625</v>
      </c>
      <c r="G324" s="366">
        <f ca="1">IFERROR(__xludf.DUMMYFUNCTION("""COMPUTED_VALUE"""),45784.625)</f>
        <v>45784.625</v>
      </c>
      <c r="H324" s="366">
        <f ca="1">IFERROR(__xludf.DUMMYFUNCTION("""COMPUTED_VALUE"""),45784.625)</f>
        <v>45784.625</v>
      </c>
      <c r="I324" s="369">
        <f ca="1">IFERROR(__xludf.DUMMYFUNCTION("""COMPUTED_VALUE"""),45845.625)</f>
        <v>45845.625</v>
      </c>
      <c r="J324" s="369">
        <f ca="1">IFERROR(__xludf.DUMMYFUNCTION("""COMPUTED_VALUE"""),45876.6666666666)</f>
        <v>45876.666666666599</v>
      </c>
      <c r="K324" s="370">
        <f ca="1">IFERROR(__xludf.DUMMYFUNCTION("""COMPUTED_VALUE"""),45907.8125)</f>
        <v>45907.8125</v>
      </c>
      <c r="L324" s="366">
        <f ca="1">IFERROR(__xludf.DUMMYFUNCTION("""COMPUTED_VALUE"""),45907.625)</f>
        <v>45907.625</v>
      </c>
      <c r="M324" s="360" t="str">
        <f ca="1">IFERROR(__xludf.DUMMYFUNCTION("""COMPUTED_VALUE"""),"11/07/2025 MORNING")</f>
        <v>11/07/2025 MORNING</v>
      </c>
    </row>
    <row r="325" spans="1:13" ht="18.75" hidden="1">
      <c r="A325" s="360" t="str">
        <f ca="1">IFERROR(__xludf.DUMMYFUNCTION("""COMPUTED_VALUE"""),"CVT")</f>
        <v>CVT</v>
      </c>
      <c r="B325" s="360" t="str">
        <f ca="1">IFERROR(__xludf.DUMMYFUNCTION("""COMPUTED_VALUE"""),"AVIOS V.2510N")</f>
        <v>AVIOS V.2510N</v>
      </c>
      <c r="C325" s="361" t="str">
        <f ca="1">IFERROR(__xludf.DUMMYFUNCTION("""COMPUTED_VALUE"""),"THBKK")</f>
        <v>THBKK</v>
      </c>
      <c r="D325" s="366">
        <f ca="1">IFERROR(__xludf.DUMMYFUNCTION("""COMPUTED_VALUE"""),45937.3333333333)</f>
        <v>45937.333333333299</v>
      </c>
      <c r="E325" s="360" t="str">
        <f ca="1">IFERROR(__xludf.DUMMYFUNCTION("""COMPUTED_VALUE"""),"32.59 04/07/2025")</f>
        <v>32.59 04/07/2025</v>
      </c>
      <c r="F325" s="366">
        <f ca="1">IFERROR(__xludf.DUMMYFUNCTION("""COMPUTED_VALUE"""),45845.625)</f>
        <v>45845.625</v>
      </c>
      <c r="G325" s="366">
        <f ca="1">IFERROR(__xludf.DUMMYFUNCTION("""COMPUTED_VALUE"""),45876.625)</f>
        <v>45876.625</v>
      </c>
      <c r="H325" s="366">
        <f ca="1">IFERROR(__xludf.DUMMYFUNCTION("""COMPUTED_VALUE"""),45876.625)</f>
        <v>45876.625</v>
      </c>
      <c r="I325" s="369">
        <f ca="1">IFERROR(__xludf.DUMMYFUNCTION("""COMPUTED_VALUE"""),45907.625)</f>
        <v>45907.625</v>
      </c>
      <c r="J325" s="369">
        <f ca="1">IFERROR(__xludf.DUMMYFUNCTION("""COMPUTED_VALUE"""),45907.6666666666)</f>
        <v>45907.666666666599</v>
      </c>
      <c r="K325" s="370">
        <f ca="1">IFERROR(__xludf.DUMMYFUNCTION("""COMPUTED_VALUE"""),45968.8333333333)</f>
        <v>45968.833333333299</v>
      </c>
      <c r="L325" s="366">
        <f ca="1">IFERROR(__xludf.DUMMYFUNCTION("""COMPUTED_VALUE"""),45998.7083333333)</f>
        <v>45998.708333333299</v>
      </c>
      <c r="M325" s="360" t="str">
        <f ca="1">IFERROR(__xludf.DUMMYFUNCTION("""COMPUTED_VALUE"""),"14/07/2025 MORNING")</f>
        <v>14/07/2025 MORNING</v>
      </c>
    </row>
    <row r="326" spans="1:13" ht="18.75" hidden="1">
      <c r="A326" s="360"/>
      <c r="B326" s="360"/>
      <c r="C326" s="361" t="str">
        <f ca="1">IFERROR(__xludf.DUMMYFUNCTION("""COMPUTED_VALUE"""),"THLCB")</f>
        <v>THLCB</v>
      </c>
      <c r="D326" s="366">
        <f ca="1">IFERROR(__xludf.DUMMYFUNCTION("""COMPUTED_VALUE"""),45968.1666666666)</f>
        <v>45968.166666666599</v>
      </c>
      <c r="E326" s="360"/>
      <c r="F326" s="366">
        <f ca="1">IFERROR(__xludf.DUMMYFUNCTION("""COMPUTED_VALUE"""),45876.625)</f>
        <v>45876.625</v>
      </c>
      <c r="G326" s="366">
        <f ca="1">IFERROR(__xludf.DUMMYFUNCTION("""COMPUTED_VALUE"""),45907.625)</f>
        <v>45907.625</v>
      </c>
      <c r="H326" s="366">
        <f ca="1">IFERROR(__xludf.DUMMYFUNCTION("""COMPUTED_VALUE"""),45907.625)</f>
        <v>45907.625</v>
      </c>
      <c r="I326" s="369">
        <f ca="1">IFERROR(__xludf.DUMMYFUNCTION("""COMPUTED_VALUE"""),45968.625)</f>
        <v>45968.625</v>
      </c>
      <c r="J326" s="369">
        <f ca="1">IFERROR(__xludf.DUMMYFUNCTION("""COMPUTED_VALUE"""),45998.6666666666)</f>
        <v>45998.666666666599</v>
      </c>
      <c r="K326" s="362" t="str">
        <f ca="1">IFERROR(__xludf.DUMMYFUNCTION("""COMPUTED_VALUE"""),"13/07/2025 11:00")</f>
        <v>13/07/2025 11:00</v>
      </c>
      <c r="L326" s="360" t="str">
        <f ca="1">IFERROR(__xludf.DUMMYFUNCTION("""COMPUTED_VALUE"""),"13/07/2025  15:00")</f>
        <v>13/07/2025  15:00</v>
      </c>
      <c r="M326" s="360" t="str">
        <f ca="1">IFERROR(__xludf.DUMMYFUNCTION("""COMPUTED_VALUE"""),"14/07/2025 MORNING")</f>
        <v>14/07/2025 MORNING</v>
      </c>
    </row>
    <row r="327" spans="1:13" ht="18.75" hidden="1">
      <c r="A327" s="360"/>
      <c r="B327" s="360"/>
      <c r="C327" s="361"/>
      <c r="D327" s="360"/>
      <c r="E327" s="360"/>
      <c r="F327" s="360"/>
      <c r="G327" s="360"/>
      <c r="H327" s="360"/>
      <c r="I327" s="362"/>
      <c r="J327" s="362"/>
      <c r="K327" s="362"/>
      <c r="L327" s="360"/>
      <c r="M327" s="360"/>
    </row>
    <row r="328" spans="1:13" ht="18.75" hidden="1">
      <c r="A328" s="360"/>
      <c r="B328" s="360" t="str">
        <f ca="1">IFERROR(__xludf.DUMMYFUNCTION("""COMPUTED_VALUE"""),"WEEK 27/2025")</f>
        <v>WEEK 27/2025</v>
      </c>
      <c r="C328" s="361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328" s="360"/>
      <c r="E328" s="360"/>
      <c r="F328" s="360"/>
      <c r="G328" s="360"/>
      <c r="H328" s="360"/>
      <c r="I328" s="362"/>
      <c r="J328" s="362"/>
      <c r="K328" s="362"/>
      <c r="L328" s="360"/>
      <c r="M328" s="360"/>
    </row>
    <row r="329" spans="1:13" ht="18.75" hidden="1">
      <c r="A329" s="360"/>
      <c r="B329" s="360"/>
      <c r="C329" s="361"/>
      <c r="D329" s="360"/>
      <c r="E329" s="360"/>
      <c r="F329" s="360"/>
      <c r="G329" s="360"/>
      <c r="H329" s="360"/>
      <c r="I329" s="362"/>
      <c r="J329" s="362"/>
      <c r="K329" s="362"/>
      <c r="L329" s="360"/>
      <c r="M329" s="360"/>
    </row>
    <row r="330" spans="1:13" ht="18.75" hidden="1">
      <c r="A330" s="360" t="str">
        <f ca="1">IFERROR(__xludf.DUMMYFUNCTION("""COMPUTED_VALUE"""),"SERVICE")</f>
        <v>SERVICE</v>
      </c>
      <c r="B330" s="360" t="str">
        <f ca="1">IFERROR(__xludf.DUMMYFUNCTION("""COMPUTED_VALUE"""),"VESSEL NAME")</f>
        <v>VESSEL NAME</v>
      </c>
      <c r="C330" s="361" t="str">
        <f ca="1">IFERROR(__xludf.DUMMYFUNCTION("""COMPUTED_VALUE"""),"PORT")</f>
        <v>PORT</v>
      </c>
      <c r="D330" s="360" t="str">
        <f ca="1">IFERROR(__xludf.DUMMYFUNCTION("""COMPUTED_VALUE"""),"PERFOMA ETD")</f>
        <v>PERFOMA ETD</v>
      </c>
      <c r="E330" s="360" t="str">
        <f ca="1">IFERROR(__xludf.DUMMYFUNCTION("""COMPUTED_VALUE"""),"EX.RATE/DATE/")</f>
        <v>EX.RATE/DATE/</v>
      </c>
      <c r="F330" s="360" t="str">
        <f ca="1">IFERROR(__xludf.DUMMYFUNCTION("""COMPUTED_VALUE"""),"SI CUT OFF USA")</f>
        <v>SI CUT OFF USA</v>
      </c>
      <c r="G330" s="360" t="str">
        <f ca="1">IFERROR(__xludf.DUMMYFUNCTION("""COMPUTED_VALUE"""),"SI CUT OFF")</f>
        <v>SI CUT OFF</v>
      </c>
      <c r="H330" s="360" t="str">
        <f ca="1">IFERROR(__xludf.DUMMYFUNCTION("""COMPUTED_VALUE"""),"B/L CFM USA")</f>
        <v>B/L CFM USA</v>
      </c>
      <c r="I330" s="362" t="str">
        <f ca="1">IFERROR(__xludf.DUMMYFUNCTION("""COMPUTED_VALUE"""),"B/L CFM CHINA,JP,VN")</f>
        <v>B/L CFM CHINA,JP,VN</v>
      </c>
      <c r="J330" s="362" t="str">
        <f ca="1">IFERROR(__xludf.DUMMYFUNCTION("""COMPUTED_VALUE"""),"B/L CONFIRM")</f>
        <v>B/L CONFIRM</v>
      </c>
      <c r="K330" s="362" t="str">
        <f ca="1">IFERROR(__xludf.DUMMYFUNCTION("""COMPUTED_VALUE"""),"ETD")</f>
        <v>ETD</v>
      </c>
      <c r="L330" s="360" t="str">
        <f ca="1">IFERROR(__xludf.DUMMYFUNCTION("""COMPUTED_VALUE"""),"ATD")</f>
        <v>ATD</v>
      </c>
      <c r="M330" s="360" t="str">
        <f ca="1">IFERROR(__xludf.DUMMYFUNCTION("""COMPUTED_VALUE"""),"B/L ISSUED DATE")</f>
        <v>B/L ISSUED DATE</v>
      </c>
    </row>
    <row r="331" spans="1:13" ht="18.75" hidden="1">
      <c r="A331" s="360"/>
      <c r="B331" s="360"/>
      <c r="C331" s="361"/>
      <c r="D331" s="360"/>
      <c r="E331" s="360" t="str">
        <f ca="1">IFERROR(__xludf.DUMMYFUNCTION("""COMPUTED_VALUE"""),"BANGKOK BANK")</f>
        <v>BANGKOK BANK</v>
      </c>
      <c r="F331" s="360" t="str">
        <f ca="1">IFERROR(__xludf.DUMMYFUNCTION("""COMPUTED_VALUE"""),"4 days before ETD")</f>
        <v>4 days before ETD</v>
      </c>
      <c r="G331" s="360"/>
      <c r="H331" s="360" t="str">
        <f ca="1">IFERROR(__xludf.DUMMYFUNCTION("""COMPUTED_VALUE"""),"3 days before ETD")</f>
        <v>3 days before ETD</v>
      </c>
      <c r="I331" s="362" t="str">
        <f ca="1">IFERROR(__xludf.DUMMYFUNCTION("""COMPUTED_VALUE"""),"Direct port CUT OFF")</f>
        <v>Direct port CUT OFF</v>
      </c>
      <c r="J331" s="362" t="str">
        <f ca="1">IFERROR(__xludf.DUMMYFUNCTION("""COMPUTED_VALUE"""),"Orther port CUT OFF")</f>
        <v>Orther port CUT OFF</v>
      </c>
      <c r="K331" s="362" t="str">
        <f ca="1">IFERROR(__xludf.DUMMYFUNCTION("""COMPUTED_VALUE"""),"ON BOARD DATE")</f>
        <v>ON BOARD DATE</v>
      </c>
      <c r="L331" s="360" t="str">
        <f ca="1">IFERROR(__xludf.DUMMYFUNCTION("""COMPUTED_VALUE"""),"วันเรือออกจริง")</f>
        <v>วันเรือออกจริง</v>
      </c>
      <c r="M331" s="360" t="str">
        <f ca="1">IFERROR(__xludf.DUMMYFUNCTION("""COMPUTED_VALUE"""),"วันปล่อยบีแอล")</f>
        <v>วันปล่อยบีแอล</v>
      </c>
    </row>
    <row r="332" spans="1:13" ht="18.75" hidden="1">
      <c r="A332" s="360"/>
      <c r="B332" s="360"/>
      <c r="C332" s="361"/>
      <c r="D332" s="360"/>
      <c r="E332" s="360"/>
      <c r="F332" s="360"/>
      <c r="G332" s="360" t="str">
        <f ca="1">IFERROR(__xludf.DUMMYFUNCTION("""COMPUTED_VALUE"""),"3 days before ETD")</f>
        <v>3 days before ETD</v>
      </c>
      <c r="H332" s="360"/>
      <c r="I332" s="362" t="str">
        <f ca="1">IFERROR(__xludf.DUMMYFUNCTION("""COMPUTED_VALUE"""),"2 days before ETD")</f>
        <v>2 days before ETD</v>
      </c>
      <c r="J332" s="362" t="str">
        <f ca="1">IFERROR(__xludf.DUMMYFUNCTION("""COMPUTED_VALUE"""),"1 days before ETD")</f>
        <v>1 days before ETD</v>
      </c>
      <c r="K332" s="362" t="str">
        <f ca="1">IFERROR(__xludf.DUMMYFUNCTION("""COMPUTED_VALUE"""),"SHOW ON B/L")</f>
        <v>SHOW ON B/L</v>
      </c>
      <c r="L332" s="360"/>
      <c r="M332" s="360"/>
    </row>
    <row r="333" spans="1:13" ht="18.75" hidden="1">
      <c r="A333" s="360" t="str">
        <f ca="1">IFERROR(__xludf.DUMMYFUNCTION("""COMPUTED_VALUE"""),"TRX")</f>
        <v>TRX</v>
      </c>
      <c r="B333" s="360" t="str">
        <f ca="1">IFERROR(__xludf.DUMMYFUNCTION("""COMPUTED_VALUE"""),"LALIT BHUM V.030N")</f>
        <v>LALIT BHUM V.030N</v>
      </c>
      <c r="C333" s="361" t="str">
        <f ca="1">IFERROR(__xludf.DUMMYFUNCTION("""COMPUTED_VALUE"""),"THBKK")</f>
        <v>THBKK</v>
      </c>
      <c r="D333" s="366">
        <f ca="1">IFERROR(__xludf.DUMMYFUNCTION("""COMPUTED_VALUE"""),45664.8125)</f>
        <v>45664.8125</v>
      </c>
      <c r="E333" s="360" t="str">
        <f ca="1">IFERROR(__xludf.DUMMYFUNCTION("""COMPUTED_VALUE"""),"32.65 26/06/2025")</f>
        <v>32.65 26/06/2025</v>
      </c>
      <c r="F333" s="366">
        <f ca="1">IFERROR(__xludf.DUMMYFUNCTION("""COMPUTED_VALUE"""),45664.625)</f>
        <v>45664.625</v>
      </c>
      <c r="G333" s="366">
        <f ca="1">IFERROR(__xludf.DUMMYFUNCTION("""COMPUTED_VALUE"""),45695.625)</f>
        <v>45695.625</v>
      </c>
      <c r="H333" s="366">
        <f ca="1">IFERROR(__xludf.DUMMYFUNCTION("""COMPUTED_VALUE"""),45695.625)</f>
        <v>45695.625</v>
      </c>
      <c r="I333" s="369">
        <f ca="1">IFERROR(__xludf.DUMMYFUNCTION("""COMPUTED_VALUE"""),45723.625)</f>
        <v>45723.625</v>
      </c>
      <c r="J333" s="369">
        <f ca="1">IFERROR(__xludf.DUMMYFUNCTION("""COMPUTED_VALUE"""),45754.6666666666)</f>
        <v>45754.666666666599</v>
      </c>
      <c r="K333" s="369">
        <f ca="1">IFERROR(__xludf.DUMMYFUNCTION("""COMPUTED_VALUE"""),45784.0416666666)</f>
        <v>45784.041666666599</v>
      </c>
      <c r="L333" s="366">
        <f ca="1">IFERROR(__xludf.DUMMYFUNCTION("""COMPUTED_VALUE"""),45784.0277777777)</f>
        <v>45784.027777777701</v>
      </c>
      <c r="M333" s="360" t="str">
        <f ca="1">IFERROR(__xludf.DUMMYFUNCTION("""COMPUTED_VALUE"""),"07/07/2025 MORNING")</f>
        <v>07/07/2025 MORNING</v>
      </c>
    </row>
    <row r="334" spans="1:13" ht="18.75" hidden="1">
      <c r="A334" s="360"/>
      <c r="B334" s="360"/>
      <c r="C334" s="361" t="str">
        <f ca="1">IFERROR(__xludf.DUMMYFUNCTION("""COMPUTED_VALUE"""),"THLCB")</f>
        <v>THLCB</v>
      </c>
      <c r="D334" s="366">
        <f ca="1">IFERROR(__xludf.DUMMYFUNCTION("""COMPUTED_VALUE"""),45723.375)</f>
        <v>45723.375</v>
      </c>
      <c r="E334" s="360"/>
      <c r="F334" s="366">
        <f ca="1">IFERROR(__xludf.DUMMYFUNCTION("""COMPUTED_VALUE"""),45664.625)</f>
        <v>45664.625</v>
      </c>
      <c r="G334" s="366">
        <f ca="1">IFERROR(__xludf.DUMMYFUNCTION("""COMPUTED_VALUE"""),45695.625)</f>
        <v>45695.625</v>
      </c>
      <c r="H334" s="366">
        <f ca="1">IFERROR(__xludf.DUMMYFUNCTION("""COMPUTED_VALUE"""),45695.625)</f>
        <v>45695.625</v>
      </c>
      <c r="I334" s="369">
        <f ca="1">IFERROR(__xludf.DUMMYFUNCTION("""COMPUTED_VALUE"""),45723.625)</f>
        <v>45723.625</v>
      </c>
      <c r="J334" s="369">
        <f ca="1">IFERROR(__xludf.DUMMYFUNCTION("""COMPUTED_VALUE"""),45754.6666666666)</f>
        <v>45754.666666666599</v>
      </c>
      <c r="K334" s="369">
        <f ca="1">IFERROR(__xludf.DUMMYFUNCTION("""COMPUTED_VALUE"""),45784.875)</f>
        <v>45784.875</v>
      </c>
      <c r="L334" s="366">
        <f ca="1">IFERROR(__xludf.DUMMYFUNCTION("""COMPUTED_VALUE"""),45784.8819444444)</f>
        <v>45784.881944444402</v>
      </c>
      <c r="M334" s="360" t="str">
        <f ca="1">IFERROR(__xludf.DUMMYFUNCTION("""COMPUTED_VALUE"""),"07/07/2025 MORNING")</f>
        <v>07/07/2025 MORNING</v>
      </c>
    </row>
    <row r="335" spans="1:13" ht="18.75" hidden="1">
      <c r="A335" s="360" t="str">
        <f ca="1">IFERROR(__xludf.DUMMYFUNCTION("""COMPUTED_VALUE"""),"CVT")</f>
        <v>CVT</v>
      </c>
      <c r="B335" s="360" t="str">
        <f ca="1">IFERROR(__xludf.DUMMYFUNCTION("""COMPUTED_VALUE"""),"TS QINGDAO V.25009N")</f>
        <v>TS QINGDAO V.25009N</v>
      </c>
      <c r="C335" s="361" t="str">
        <f ca="1">IFERROR(__xludf.DUMMYFUNCTION("""COMPUTED_VALUE"""),"THBKK")</f>
        <v>THBKK</v>
      </c>
      <c r="D335" s="366">
        <f ca="1">IFERROR(__xludf.DUMMYFUNCTION("""COMPUTED_VALUE"""),45723.3333333333)</f>
        <v>45723.333333333299</v>
      </c>
      <c r="E335" s="360" t="str">
        <f ca="1">IFERROR(__xludf.DUMMYFUNCTION("""COMPUTED_VALUE"""),"32.85 25/06/2025")</f>
        <v>32.85 25/06/2025</v>
      </c>
      <c r="F335" s="360" t="str">
        <f ca="1">IFERROR(__xludf.DUMMYFUNCTION("""COMPUTED_VALUE"""),"27/06/2025 15:00")</f>
        <v>27/06/2025 15:00</v>
      </c>
      <c r="G335" s="360" t="str">
        <f ca="1">IFERROR(__xludf.DUMMYFUNCTION("""COMPUTED_VALUE"""),"30/06/2025 15:00")</f>
        <v>30/06/2025 15:00</v>
      </c>
      <c r="H335" s="360" t="str">
        <f ca="1">IFERROR(__xludf.DUMMYFUNCTION("""COMPUTED_VALUE"""),"30/06/2025 15:00")</f>
        <v>30/06/2025 15:00</v>
      </c>
      <c r="I335" s="369">
        <f ca="1">IFERROR(__xludf.DUMMYFUNCTION("""COMPUTED_VALUE"""),45664.625)</f>
        <v>45664.625</v>
      </c>
      <c r="J335" s="369">
        <f ca="1">IFERROR(__xludf.DUMMYFUNCTION("""COMPUTED_VALUE"""),45695.6666666666)</f>
        <v>45695.666666666599</v>
      </c>
      <c r="K335" s="369">
        <f ca="1">IFERROR(__xludf.DUMMYFUNCTION("""COMPUTED_VALUE"""),45723.875)</f>
        <v>45723.875</v>
      </c>
      <c r="L335" s="366">
        <f ca="1">IFERROR(__xludf.DUMMYFUNCTION("""COMPUTED_VALUE"""),45723.8333333333)</f>
        <v>45723.833333333299</v>
      </c>
      <c r="M335" s="360" t="str">
        <f ca="1">IFERROR(__xludf.DUMMYFUNCTION("""COMPUTED_VALUE"""),"04/07/2025 MORNING")</f>
        <v>04/07/2025 MORNING</v>
      </c>
    </row>
    <row r="336" spans="1:13" ht="18.75" hidden="1">
      <c r="A336" s="360"/>
      <c r="B336" s="360"/>
      <c r="C336" s="361" t="str">
        <f ca="1">IFERROR(__xludf.DUMMYFUNCTION("""COMPUTED_VALUE"""),"THLCB")</f>
        <v>THLCB</v>
      </c>
      <c r="D336" s="366">
        <f ca="1">IFERROR(__xludf.DUMMYFUNCTION("""COMPUTED_VALUE"""),45754.1666666666)</f>
        <v>45754.166666666599</v>
      </c>
      <c r="E336" s="360"/>
      <c r="F336" s="360" t="str">
        <f ca="1">IFERROR(__xludf.DUMMYFUNCTION("""COMPUTED_VALUE"""),"30/06/2025 15:00")</f>
        <v>30/06/2025 15:00</v>
      </c>
      <c r="G336" s="366">
        <f ca="1">IFERROR(__xludf.DUMMYFUNCTION("""COMPUTED_VALUE"""),45664.625)</f>
        <v>45664.625</v>
      </c>
      <c r="H336" s="366">
        <f ca="1">IFERROR(__xludf.DUMMYFUNCTION("""COMPUTED_VALUE"""),45664.625)</f>
        <v>45664.625</v>
      </c>
      <c r="I336" s="369">
        <f ca="1">IFERROR(__xludf.DUMMYFUNCTION("""COMPUTED_VALUE"""),45695.625)</f>
        <v>45695.625</v>
      </c>
      <c r="J336" s="369">
        <f ca="1">IFERROR(__xludf.DUMMYFUNCTION("""COMPUTED_VALUE"""),45723.6666666666)</f>
        <v>45723.666666666599</v>
      </c>
      <c r="K336" s="369">
        <f ca="1">IFERROR(__xludf.DUMMYFUNCTION("""COMPUTED_VALUE"""),45754.625)</f>
        <v>45754.625</v>
      </c>
      <c r="L336" s="366">
        <f ca="1">IFERROR(__xludf.DUMMYFUNCTION("""COMPUTED_VALUE"""),45754.4673611111)</f>
        <v>45754.467361111099</v>
      </c>
      <c r="M336" s="360" t="str">
        <f ca="1">IFERROR(__xludf.DUMMYFUNCTION("""COMPUTED_VALUE"""),"04/07/2025 NOON")</f>
        <v>04/07/2025 NOON</v>
      </c>
    </row>
    <row r="337" spans="1:13" ht="18.75" hidden="1">
      <c r="A337" s="360"/>
      <c r="B337" s="360"/>
      <c r="C337" s="361"/>
      <c r="D337" s="360"/>
      <c r="E337" s="360"/>
      <c r="F337" s="360"/>
      <c r="G337" s="360"/>
      <c r="H337" s="360"/>
      <c r="I337" s="362"/>
      <c r="J337" s="362"/>
      <c r="K337" s="362"/>
      <c r="L337" s="360"/>
      <c r="M337" s="360"/>
    </row>
    <row r="338" spans="1:13" ht="18.75" hidden="1">
      <c r="A338" s="360"/>
      <c r="B338" s="360" t="str">
        <f ca="1">IFERROR(__xludf.DUMMYFUNCTION("""COMPUTED_VALUE"""),"WEEK 26/2025")</f>
        <v>WEEK 26/2025</v>
      </c>
      <c r="C338" s="361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338" s="360"/>
      <c r="E338" s="360"/>
      <c r="F338" s="360"/>
      <c r="G338" s="360"/>
      <c r="H338" s="360"/>
      <c r="I338" s="362"/>
      <c r="J338" s="362"/>
      <c r="K338" s="362"/>
      <c r="L338" s="360"/>
      <c r="M338" s="360"/>
    </row>
    <row r="339" spans="1:13" ht="18.75" hidden="1">
      <c r="A339" s="360"/>
      <c r="B339" s="360"/>
      <c r="C339" s="361"/>
      <c r="D339" s="360"/>
      <c r="E339" s="360"/>
      <c r="F339" s="360"/>
      <c r="G339" s="360"/>
      <c r="H339" s="360"/>
      <c r="I339" s="362"/>
      <c r="J339" s="362"/>
      <c r="K339" s="362"/>
      <c r="L339" s="360"/>
      <c r="M339" s="360"/>
    </row>
    <row r="340" spans="1:13" ht="18.75" hidden="1">
      <c r="A340" s="360" t="str">
        <f ca="1">IFERROR(__xludf.DUMMYFUNCTION("""COMPUTED_VALUE"""),"SERVICE")</f>
        <v>SERVICE</v>
      </c>
      <c r="B340" s="360" t="str">
        <f ca="1">IFERROR(__xludf.DUMMYFUNCTION("""COMPUTED_VALUE"""),"VESSEL NAME")</f>
        <v>VESSEL NAME</v>
      </c>
      <c r="C340" s="361" t="str">
        <f ca="1">IFERROR(__xludf.DUMMYFUNCTION("""COMPUTED_VALUE"""),"PORT")</f>
        <v>PORT</v>
      </c>
      <c r="D340" s="360" t="str">
        <f ca="1">IFERROR(__xludf.DUMMYFUNCTION("""COMPUTED_VALUE"""),"PERFOMA ETD")</f>
        <v>PERFOMA ETD</v>
      </c>
      <c r="E340" s="360" t="str">
        <f ca="1">IFERROR(__xludf.DUMMYFUNCTION("""COMPUTED_VALUE"""),"EX.RATE/DATE/")</f>
        <v>EX.RATE/DATE/</v>
      </c>
      <c r="F340" s="360" t="str">
        <f ca="1">IFERROR(__xludf.DUMMYFUNCTION("""COMPUTED_VALUE"""),"SI CUT OFF USA")</f>
        <v>SI CUT OFF USA</v>
      </c>
      <c r="G340" s="360" t="str">
        <f ca="1">IFERROR(__xludf.DUMMYFUNCTION("""COMPUTED_VALUE"""),"SI CUT OFF")</f>
        <v>SI CUT OFF</v>
      </c>
      <c r="H340" s="360" t="str">
        <f ca="1">IFERROR(__xludf.DUMMYFUNCTION("""COMPUTED_VALUE"""),"B/L CFM USA")</f>
        <v>B/L CFM USA</v>
      </c>
      <c r="I340" s="362" t="str">
        <f ca="1">IFERROR(__xludf.DUMMYFUNCTION("""COMPUTED_VALUE"""),"B/L CFM CHINA,JP,VN")</f>
        <v>B/L CFM CHINA,JP,VN</v>
      </c>
      <c r="J340" s="362" t="str">
        <f ca="1">IFERROR(__xludf.DUMMYFUNCTION("""COMPUTED_VALUE"""),"B/L CONFIRM")</f>
        <v>B/L CONFIRM</v>
      </c>
      <c r="K340" s="362" t="str">
        <f ca="1">IFERROR(__xludf.DUMMYFUNCTION("""COMPUTED_VALUE"""),"ETD")</f>
        <v>ETD</v>
      </c>
      <c r="L340" s="360" t="str">
        <f ca="1">IFERROR(__xludf.DUMMYFUNCTION("""COMPUTED_VALUE"""),"ATD")</f>
        <v>ATD</v>
      </c>
      <c r="M340" s="360" t="str">
        <f ca="1">IFERROR(__xludf.DUMMYFUNCTION("""COMPUTED_VALUE"""),"B/L ISSUED DATE")</f>
        <v>B/L ISSUED DATE</v>
      </c>
    </row>
    <row r="341" spans="1:13" ht="18.75" hidden="1">
      <c r="A341" s="360"/>
      <c r="B341" s="360"/>
      <c r="C341" s="361"/>
      <c r="D341" s="360"/>
      <c r="E341" s="360" t="str">
        <f ca="1">IFERROR(__xludf.DUMMYFUNCTION("""COMPUTED_VALUE"""),"BANGKOK BANK")</f>
        <v>BANGKOK BANK</v>
      </c>
      <c r="F341" s="360" t="str">
        <f ca="1">IFERROR(__xludf.DUMMYFUNCTION("""COMPUTED_VALUE"""),"4 days before ETD")</f>
        <v>4 days before ETD</v>
      </c>
      <c r="G341" s="360"/>
      <c r="H341" s="360" t="str">
        <f ca="1">IFERROR(__xludf.DUMMYFUNCTION("""COMPUTED_VALUE"""),"3 days before ETD")</f>
        <v>3 days before ETD</v>
      </c>
      <c r="I341" s="362" t="str">
        <f ca="1">IFERROR(__xludf.DUMMYFUNCTION("""COMPUTED_VALUE"""),"Direct port CUT OFF")</f>
        <v>Direct port CUT OFF</v>
      </c>
      <c r="J341" s="362" t="str">
        <f ca="1">IFERROR(__xludf.DUMMYFUNCTION("""COMPUTED_VALUE"""),"Orther port CUT OFF")</f>
        <v>Orther port CUT OFF</v>
      </c>
      <c r="K341" s="362" t="str">
        <f ca="1">IFERROR(__xludf.DUMMYFUNCTION("""COMPUTED_VALUE"""),"ON BOARD DATE")</f>
        <v>ON BOARD DATE</v>
      </c>
      <c r="L341" s="360" t="str">
        <f ca="1">IFERROR(__xludf.DUMMYFUNCTION("""COMPUTED_VALUE"""),"วันเรือออกจริง")</f>
        <v>วันเรือออกจริง</v>
      </c>
      <c r="M341" s="360" t="str">
        <f ca="1">IFERROR(__xludf.DUMMYFUNCTION("""COMPUTED_VALUE"""),"วันปล่อยบีแอล")</f>
        <v>วันปล่อยบีแอล</v>
      </c>
    </row>
    <row r="342" spans="1:13" ht="18.75" hidden="1">
      <c r="A342" s="360"/>
      <c r="B342" s="360"/>
      <c r="C342" s="361"/>
      <c r="D342" s="360"/>
      <c r="E342" s="360"/>
      <c r="F342" s="360"/>
      <c r="G342" s="360" t="str">
        <f ca="1">IFERROR(__xludf.DUMMYFUNCTION("""COMPUTED_VALUE"""),"3 days before ETD")</f>
        <v>3 days before ETD</v>
      </c>
      <c r="H342" s="360"/>
      <c r="I342" s="362" t="str">
        <f ca="1">IFERROR(__xludf.DUMMYFUNCTION("""COMPUTED_VALUE"""),"2 days before ETD")</f>
        <v>2 days before ETD</v>
      </c>
      <c r="J342" s="362" t="str">
        <f ca="1">IFERROR(__xludf.DUMMYFUNCTION("""COMPUTED_VALUE"""),"1 days before ETD")</f>
        <v>1 days before ETD</v>
      </c>
      <c r="K342" s="362" t="str">
        <f ca="1">IFERROR(__xludf.DUMMYFUNCTION("""COMPUTED_VALUE"""),"SHOW ON B/L")</f>
        <v>SHOW ON B/L</v>
      </c>
      <c r="L342" s="360"/>
      <c r="M342" s="360"/>
    </row>
    <row r="343" spans="1:13" ht="18.75" hidden="1">
      <c r="A343" s="360" t="str">
        <f ca="1">IFERROR(__xludf.DUMMYFUNCTION("""COMPUTED_VALUE"""),"JHTS")</f>
        <v>JHTS</v>
      </c>
      <c r="B343" s="360" t="str">
        <f ca="1">IFERROR(__xludf.DUMMYFUNCTION("""COMPUTED_VALUE"""),"TS XIAMEN V.25010N")</f>
        <v>TS XIAMEN V.25010N</v>
      </c>
      <c r="C343" s="361" t="str">
        <f ca="1">IFERROR(__xludf.DUMMYFUNCTION("""COMPUTED_VALUE"""),"THBKK")</f>
        <v>THBKK</v>
      </c>
      <c r="D343" s="360" t="str">
        <f ca="1">IFERROR(__xludf.DUMMYFUNCTION("""COMPUTED_VALUE"""),"22/06/2025 06:00")</f>
        <v>22/06/2025 06:00</v>
      </c>
      <c r="E343" s="360" t="str">
        <f ca="1">IFERROR(__xludf.DUMMYFUNCTION("""COMPUTED_VALUE"""),"33.06 19/06/2025")</f>
        <v>33.06 19/06/2025</v>
      </c>
      <c r="F343" s="360" t="str">
        <f ca="1">IFERROR(__xludf.DUMMYFUNCTION("""COMPUTED_VALUE"""),"24/06/2025 15:00")</f>
        <v>24/06/2025 15:00</v>
      </c>
      <c r="G343" s="360" t="str">
        <f ca="1">IFERROR(__xludf.DUMMYFUNCTION("""COMPUTED_VALUE"""),"25/06/2025 15:00")</f>
        <v>25/06/2025 15:00</v>
      </c>
      <c r="H343" s="360" t="str">
        <f ca="1">IFERROR(__xludf.DUMMYFUNCTION("""COMPUTED_VALUE"""),"25/06/2025 15:00")</f>
        <v>25/06/2025 15:00</v>
      </c>
      <c r="I343" s="362" t="str">
        <f ca="1">IFERROR(__xludf.DUMMYFUNCTION("""COMPUTED_VALUE"""),"26/06/2025 15:00")</f>
        <v>26/06/2025 15:00</v>
      </c>
      <c r="J343" s="362" t="str">
        <f ca="1">IFERROR(__xludf.DUMMYFUNCTION("""COMPUTED_VALUE"""),"27/06/2025 16:00")</f>
        <v>27/06/2025 16:00</v>
      </c>
      <c r="K343" s="362" t="str">
        <f ca="1">IFERROR(__xludf.DUMMYFUNCTION("""COMPUTED_VALUE"""),"28/06/2025 19:00")</f>
        <v>28/06/2025 19:00</v>
      </c>
      <c r="L343" s="360" t="str">
        <f ca="1">IFERROR(__xludf.DUMMYFUNCTION("""COMPUTED_VALUE"""),"28/06/2025  19:00")</f>
        <v>28/06/2025  19:00</v>
      </c>
      <c r="M343" s="360" t="str">
        <f ca="1">IFERROR(__xludf.DUMMYFUNCTION("""COMPUTED_VALUE"""),"30/06/2025 MORNING")</f>
        <v>30/06/2025 MORNING</v>
      </c>
    </row>
    <row r="344" spans="1:13" ht="18.75" hidden="1">
      <c r="A344" s="360"/>
      <c r="B344" s="360"/>
      <c r="C344" s="361" t="str">
        <f ca="1">IFERROR(__xludf.DUMMYFUNCTION("""COMPUTED_VALUE"""),"THLCB")</f>
        <v>THLCB</v>
      </c>
      <c r="D344" s="360" t="str">
        <f ca="1">IFERROR(__xludf.DUMMYFUNCTION("""COMPUTED_VALUE"""),"23/06/2025 06:00")</f>
        <v>23/06/2025 06:00</v>
      </c>
      <c r="E344" s="360"/>
      <c r="F344" s="360" t="str">
        <f ca="1">IFERROR(__xludf.DUMMYFUNCTION("""COMPUTED_VALUE"""),"24/06/2025 15:00")</f>
        <v>24/06/2025 15:00</v>
      </c>
      <c r="G344" s="360" t="str">
        <f ca="1">IFERROR(__xludf.DUMMYFUNCTION("""COMPUTED_VALUE"""),"25/06/2025 15:00")</f>
        <v>25/06/2025 15:00</v>
      </c>
      <c r="H344" s="360" t="str">
        <f ca="1">IFERROR(__xludf.DUMMYFUNCTION("""COMPUTED_VALUE"""),"25/06/2025 15:00")</f>
        <v>25/06/2025 15:00</v>
      </c>
      <c r="I344" s="362" t="str">
        <f ca="1">IFERROR(__xludf.DUMMYFUNCTION("""COMPUTED_VALUE"""),"26/06/2025 15:00")</f>
        <v>26/06/2025 15:00</v>
      </c>
      <c r="J344" s="362" t="str">
        <f ca="1">IFERROR(__xludf.DUMMYFUNCTION("""COMPUTED_VALUE"""),"27/06/2025 16:00")</f>
        <v>27/06/2025 16:00</v>
      </c>
      <c r="K344" s="362" t="str">
        <f ca="1">IFERROR(__xludf.DUMMYFUNCTION("""COMPUTED_VALUE"""),"29/06/2025 17:00")</f>
        <v>29/06/2025 17:00</v>
      </c>
      <c r="L344" s="360" t="str">
        <f ca="1">IFERROR(__xludf.DUMMYFUNCTION("""COMPUTED_VALUE"""),"29/06/2025  14:30")</f>
        <v>29/06/2025  14:30</v>
      </c>
      <c r="M344" s="360" t="str">
        <f ca="1">IFERROR(__xludf.DUMMYFUNCTION("""COMPUTED_VALUE"""),"30/06/2025 MORNING")</f>
        <v>30/06/2025 MORNING</v>
      </c>
    </row>
    <row r="345" spans="1:13" ht="18.75" hidden="1">
      <c r="A345" s="360" t="str">
        <f ca="1">IFERROR(__xludf.DUMMYFUNCTION("""COMPUTED_VALUE"""),"TRX")</f>
        <v>TRX</v>
      </c>
      <c r="B345" s="360" t="str">
        <f ca="1">IFERROR(__xludf.DUMMYFUNCTION("""COMPUTED_VALUE"""),"CHANA BHUM V.899N")</f>
        <v>CHANA BHUM V.899N</v>
      </c>
      <c r="C345" s="361" t="str">
        <f ca="1">IFERROR(__xludf.DUMMYFUNCTION("""COMPUTED_VALUE"""),"THBKK")</f>
        <v>THBKK</v>
      </c>
      <c r="D345" s="360" t="str">
        <f ca="1">IFERROR(__xludf.DUMMYFUNCTION("""COMPUTED_VALUE"""),"24/06/2025 19:30")</f>
        <v>24/06/2025 19:30</v>
      </c>
      <c r="E345" s="360" t="str">
        <f ca="1">IFERROR(__xludf.DUMMYFUNCTION("""COMPUTED_VALUE"""),"32.83 18/06/2025")</f>
        <v>32.83 18/06/2025</v>
      </c>
      <c r="F345" s="360" t="str">
        <f ca="1">IFERROR(__xludf.DUMMYFUNCTION("""COMPUTED_VALUE"""),"21/06/2025 15:00")</f>
        <v>21/06/2025 15:00</v>
      </c>
      <c r="G345" s="360" t="str">
        <f ca="1">IFERROR(__xludf.DUMMYFUNCTION("""COMPUTED_VALUE"""),"23/06/2025 15:00")</f>
        <v>23/06/2025 15:00</v>
      </c>
      <c r="H345" s="360" t="str">
        <f ca="1">IFERROR(__xludf.DUMMYFUNCTION("""COMPUTED_VALUE"""),"23/06/2025 15:00")</f>
        <v>23/06/2025 15:00</v>
      </c>
      <c r="I345" s="362" t="str">
        <f ca="1">IFERROR(__xludf.DUMMYFUNCTION("""COMPUTED_VALUE"""),"24/06/2025 15:00")</f>
        <v>24/06/2025 15:00</v>
      </c>
      <c r="J345" s="362" t="str">
        <f ca="1">IFERROR(__xludf.DUMMYFUNCTION("""COMPUTED_VALUE"""),"25/06/2025 16:00")</f>
        <v>25/06/2025 16:00</v>
      </c>
      <c r="K345" s="362" t="str">
        <f ca="1">IFERROR(__xludf.DUMMYFUNCTION("""COMPUTED_VALUE"""),"26/06/2025 20:00")</f>
        <v>26/06/2025 20:00</v>
      </c>
      <c r="L345" s="360" t="str">
        <f ca="1">IFERROR(__xludf.DUMMYFUNCTION("""COMPUTED_VALUE"""),"26/06/2025  21:00")</f>
        <v>26/06/2025  21:00</v>
      </c>
      <c r="M345" s="360" t="str">
        <f ca="1">IFERROR(__xludf.DUMMYFUNCTION("""COMPUTED_VALUE"""),"27/06/2025 MORNING")</f>
        <v>27/06/2025 MORNING</v>
      </c>
    </row>
    <row r="346" spans="1:13" ht="18.75" hidden="1">
      <c r="A346" s="360"/>
      <c r="B346" s="360"/>
      <c r="C346" s="361" t="str">
        <f ca="1">IFERROR(__xludf.DUMMYFUNCTION("""COMPUTED_VALUE"""),"THLCB")</f>
        <v>THLCB</v>
      </c>
      <c r="D346" s="360" t="str">
        <f ca="1">IFERROR(__xludf.DUMMYFUNCTION("""COMPUTED_VALUE"""),"26/06/2025 09:00")</f>
        <v>26/06/2025 09:00</v>
      </c>
      <c r="E346" s="360"/>
      <c r="F346" s="360" t="str">
        <f ca="1">IFERROR(__xludf.DUMMYFUNCTION("""COMPUTED_VALUE"""),"23/06/2025 15:00")</f>
        <v>23/06/2025 15:00</v>
      </c>
      <c r="G346" s="360" t="str">
        <f ca="1">IFERROR(__xludf.DUMMYFUNCTION("""COMPUTED_VALUE"""),"24/06/2025 15:00")</f>
        <v>24/06/2025 15:00</v>
      </c>
      <c r="H346" s="360" t="str">
        <f ca="1">IFERROR(__xludf.DUMMYFUNCTION("""COMPUTED_VALUE"""),"24/06/2025 15:00")</f>
        <v>24/06/2025 15:00</v>
      </c>
      <c r="I346" s="362" t="str">
        <f ca="1">IFERROR(__xludf.DUMMYFUNCTION("""COMPUTED_VALUE"""),"25/06/2025 15:00")</f>
        <v>25/06/2025 15:00</v>
      </c>
      <c r="J346" s="362" t="str">
        <f ca="1">IFERROR(__xludf.DUMMYFUNCTION("""COMPUTED_VALUE"""),"26/06/2025 16:00")</f>
        <v>26/06/2025 16:00</v>
      </c>
      <c r="K346" s="362" t="str">
        <f ca="1">IFERROR(__xludf.DUMMYFUNCTION("""COMPUTED_VALUE"""),"27/06/2025 16:00")</f>
        <v>27/06/2025 16:00</v>
      </c>
      <c r="L346" s="360" t="str">
        <f ca="1">IFERROR(__xludf.DUMMYFUNCTION("""COMPUTED_VALUE"""),"27/06/2025  12:06")</f>
        <v>27/06/2025  12:06</v>
      </c>
      <c r="M346" s="360" t="str">
        <f ca="1">IFERROR(__xludf.DUMMYFUNCTION("""COMPUTED_VALUE"""),"27/06/2025 NOON")</f>
        <v>27/06/2025 NOON</v>
      </c>
    </row>
    <row r="347" spans="1:13" ht="18.75" hidden="1">
      <c r="A347" s="360" t="str">
        <f ca="1">IFERROR(__xludf.DUMMYFUNCTION("""COMPUTED_VALUE"""),"CHT")</f>
        <v>CHT</v>
      </c>
      <c r="B347" s="360" t="str">
        <f ca="1">IFERROR(__xludf.DUMMYFUNCTION("""COMPUTED_VALUE"""),"KMTC TAIPEIS V.2507N")</f>
        <v>KMTC TAIPEIS V.2507N</v>
      </c>
      <c r="C347" s="361" t="str">
        <f ca="1">IFERROR(__xludf.DUMMYFUNCTION("""COMPUTED_VALUE"""),"THBKK")</f>
        <v>THBKK</v>
      </c>
      <c r="D347" s="360" t="str">
        <f ca="1">IFERROR(__xludf.DUMMYFUNCTION("""COMPUTED_VALUE"""),"18/06/2025 08:00")</f>
        <v>18/06/2025 08:00</v>
      </c>
      <c r="E347" s="360" t="str">
        <f ca="1">IFERROR(__xludf.DUMMYFUNCTION("""COMPUTED_VALUE"""),"32.71  13/06/2025")</f>
        <v>32.71  13/06/2025</v>
      </c>
      <c r="F347" s="360" t="str">
        <f ca="1">IFERROR(__xludf.DUMMYFUNCTION("""COMPUTED_VALUE"""),"18/06/2025 15:00")</f>
        <v>18/06/2025 15:00</v>
      </c>
      <c r="G347" s="360" t="str">
        <f ca="1">IFERROR(__xludf.DUMMYFUNCTION("""COMPUTED_VALUE"""),"19/06/2025 15:00")</f>
        <v>19/06/2025 15:00</v>
      </c>
      <c r="H347" s="360" t="str">
        <f ca="1">IFERROR(__xludf.DUMMYFUNCTION("""COMPUTED_VALUE"""),"19/06/2025 15:00")</f>
        <v>19/06/2025 15:00</v>
      </c>
      <c r="I347" s="362" t="str">
        <f ca="1">IFERROR(__xludf.DUMMYFUNCTION("""COMPUTED_VALUE"""),"20/06/2025 15:00")</f>
        <v>20/06/2025 15:00</v>
      </c>
      <c r="J347" s="362" t="str">
        <f ca="1">IFERROR(__xludf.DUMMYFUNCTION("""COMPUTED_VALUE"""),"21/06/2025 16:00")</f>
        <v>21/06/2025 16:00</v>
      </c>
      <c r="K347" s="362" t="str">
        <f ca="1">IFERROR(__xludf.DUMMYFUNCTION("""COMPUTED_VALUE"""),"23/06/2025 23:00")</f>
        <v>23/06/2025 23:00</v>
      </c>
      <c r="L347" s="360" t="str">
        <f ca="1">IFERROR(__xludf.DUMMYFUNCTION("""COMPUTED_VALUE"""),"23/06/2025  22:00")</f>
        <v>23/06/2025  22:00</v>
      </c>
      <c r="M347" s="360" t="str">
        <f ca="1">IFERROR(__xludf.DUMMYFUNCTION("""COMPUTED_VALUE"""),"24/06/2025 MORNING")</f>
        <v>24/06/2025 MORNING</v>
      </c>
    </row>
    <row r="348" spans="1:13" ht="18.75" hidden="1">
      <c r="A348" s="360"/>
      <c r="B348" s="360"/>
      <c r="C348" s="361" t="str">
        <f ca="1">IFERROR(__xludf.DUMMYFUNCTION("""COMPUTED_VALUE"""),"THLCB")</f>
        <v>THLCB</v>
      </c>
      <c r="D348" s="360" t="str">
        <f ca="1">IFERROR(__xludf.DUMMYFUNCTION("""COMPUTED_VALUE"""),"19/06/2025 04:00")</f>
        <v>19/06/2025 04:00</v>
      </c>
      <c r="E348" s="360"/>
      <c r="F348" s="360" t="str">
        <f ca="1">IFERROR(__xludf.DUMMYFUNCTION("""COMPUTED_VALUE"""),"19/06/2025 15:00")</f>
        <v>19/06/2025 15:00</v>
      </c>
      <c r="G348" s="360" t="str">
        <f ca="1">IFERROR(__xludf.DUMMYFUNCTION("""COMPUTED_VALUE"""),"20/06/2025 15:00")</f>
        <v>20/06/2025 15:00</v>
      </c>
      <c r="H348" s="360" t="str">
        <f ca="1">IFERROR(__xludf.DUMMYFUNCTION("""COMPUTED_VALUE"""),"20/06/2025 15:00")</f>
        <v>20/06/2025 15:00</v>
      </c>
      <c r="I348" s="362" t="str">
        <f ca="1">IFERROR(__xludf.DUMMYFUNCTION("""COMPUTED_VALUE"""),"21/06/2025 15:00")</f>
        <v>21/06/2025 15:00</v>
      </c>
      <c r="J348" s="362" t="str">
        <f ca="1">IFERROR(__xludf.DUMMYFUNCTION("""COMPUTED_VALUE"""),"23/06/2025 16:00")</f>
        <v>23/06/2025 16:00</v>
      </c>
      <c r="K348" s="362" t="str">
        <f ca="1">IFERROR(__xludf.DUMMYFUNCTION("""COMPUTED_VALUE"""),"24/06/2025 17:00")</f>
        <v>24/06/2025 17:00</v>
      </c>
      <c r="L348" s="360" t="str">
        <f ca="1">IFERROR(__xludf.DUMMYFUNCTION("""COMPUTED_VALUE"""),"24/06/2025  21:00")</f>
        <v>24/06/2025  21:00</v>
      </c>
      <c r="M348" s="360" t="str">
        <f ca="1">IFERROR(__xludf.DUMMYFUNCTION("""COMPUTED_VALUE"""),"25/06/2025 MORNING")</f>
        <v>25/06/2025 MORNING</v>
      </c>
    </row>
    <row r="349" spans="1:13" ht="18.75" hidden="1">
      <c r="A349" s="360" t="str">
        <f ca="1">IFERROR(__xludf.DUMMYFUNCTION("""COMPUTED_VALUE"""),"CVT")</f>
        <v>CVT</v>
      </c>
      <c r="B349" s="360" t="str">
        <f ca="1">IFERROR(__xludf.DUMMYFUNCTION("""COMPUTED_VALUE"""),"KMTC POHANG V.2507N")</f>
        <v>KMTC POHANG V.2507N</v>
      </c>
      <c r="C349" s="361" t="str">
        <f ca="1">IFERROR(__xludf.DUMMYFUNCTION("""COMPUTED_VALUE"""),"THBKK")</f>
        <v>THBKK</v>
      </c>
      <c r="D349" s="360" t="str">
        <f ca="1">IFERROR(__xludf.DUMMYFUNCTION("""COMPUTED_VALUE"""),"26/06/2025 08:00")</f>
        <v>26/06/2025 08:00</v>
      </c>
      <c r="E349" s="360" t="str">
        <f ca="1">IFERROR(__xludf.DUMMYFUNCTION("""COMPUTED_VALUE"""),"33.03 20/06/2025")</f>
        <v>33.03 20/06/2025</v>
      </c>
      <c r="F349" s="360" t="str">
        <f ca="1">IFERROR(__xludf.DUMMYFUNCTION("""COMPUTED_VALUE"""),"25/06/2025 15:00")</f>
        <v>25/06/2025 15:00</v>
      </c>
      <c r="G349" s="360" t="str">
        <f ca="1">IFERROR(__xludf.DUMMYFUNCTION("""COMPUTED_VALUE"""),"26/06/2025 15:00")</f>
        <v>26/06/2025 15:00</v>
      </c>
      <c r="H349" s="360" t="str">
        <f ca="1">IFERROR(__xludf.DUMMYFUNCTION("""COMPUTED_VALUE"""),"26/06/2025 15:00")</f>
        <v>26/06/2025 15:00</v>
      </c>
      <c r="I349" s="362" t="str">
        <f ca="1">IFERROR(__xludf.DUMMYFUNCTION("""COMPUTED_VALUE"""),"27/06/2025 15:00")</f>
        <v>27/06/2025 15:00</v>
      </c>
      <c r="J349" s="362" t="str">
        <f ca="1">IFERROR(__xludf.DUMMYFUNCTION("""COMPUTED_VALUE"""),"28/06/2025 16:00")</f>
        <v>28/06/2025 16:00</v>
      </c>
      <c r="K349" s="362" t="str">
        <f ca="1">IFERROR(__xludf.DUMMYFUNCTION("""COMPUTED_VALUE"""),"29/06/2025 18:00")</f>
        <v>29/06/2025 18:00</v>
      </c>
      <c r="L349" s="360" t="str">
        <f ca="1">IFERROR(__xludf.DUMMYFUNCTION("""COMPUTED_VALUE"""),"29/06/2025  18:00")</f>
        <v>29/06/2025  18:00</v>
      </c>
      <c r="M349" s="360" t="str">
        <f ca="1">IFERROR(__xludf.DUMMYFUNCTION("""COMPUTED_VALUE"""),"30/06/2025 MORNING")</f>
        <v>30/06/2025 MORNING</v>
      </c>
    </row>
    <row r="350" spans="1:13" ht="18.75" hidden="1">
      <c r="A350" s="360"/>
      <c r="B350" s="360"/>
      <c r="C350" s="361" t="str">
        <f ca="1">IFERROR(__xludf.DUMMYFUNCTION("""COMPUTED_VALUE"""),"THLCB")</f>
        <v>THLCB</v>
      </c>
      <c r="D350" s="360" t="str">
        <f ca="1">IFERROR(__xludf.DUMMYFUNCTION("""COMPUTED_VALUE"""),"27/06/2025 04:00")</f>
        <v>27/06/2025 04:00</v>
      </c>
      <c r="E350" s="360"/>
      <c r="F350" s="360" t="str">
        <f ca="1">IFERROR(__xludf.DUMMYFUNCTION("""COMPUTED_VALUE"""),"25/06/2025 15:00")</f>
        <v>25/06/2025 15:00</v>
      </c>
      <c r="G350" s="360" t="str">
        <f ca="1">IFERROR(__xludf.DUMMYFUNCTION("""COMPUTED_VALUE"""),"26/06/2025 15:00")</f>
        <v>26/06/2025 15:00</v>
      </c>
      <c r="H350" s="360" t="str">
        <f ca="1">IFERROR(__xludf.DUMMYFUNCTION("""COMPUTED_VALUE"""),"26/06/2025 15:00")</f>
        <v>26/06/2025 15:00</v>
      </c>
      <c r="I350" s="362" t="str">
        <f ca="1">IFERROR(__xludf.DUMMYFUNCTION("""COMPUTED_VALUE"""),"27/06/2025 15:00")</f>
        <v>27/06/2025 15:00</v>
      </c>
      <c r="J350" s="362" t="str">
        <f ca="1">IFERROR(__xludf.DUMMYFUNCTION("""COMPUTED_VALUE"""),"28/06/2025 16:00")</f>
        <v>28/06/2025 16:00</v>
      </c>
      <c r="K350" s="362" t="str">
        <f ca="1">IFERROR(__xludf.DUMMYFUNCTION("""COMPUTED_VALUE"""),"30/06/2025 13:00")</f>
        <v>30/06/2025 13:00</v>
      </c>
      <c r="L350" s="360" t="str">
        <f ca="1">IFERROR(__xludf.DUMMYFUNCTION("""COMPUTED_VALUE"""),"30/06/2025  13:00")</f>
        <v>30/06/2025  13:00</v>
      </c>
      <c r="M350" s="360" t="str">
        <f ca="1">IFERROR(__xludf.DUMMYFUNCTION("""COMPUTED_VALUE"""),"01/07/2025 MORNING")</f>
        <v>01/07/2025 MORNING</v>
      </c>
    </row>
    <row r="351" spans="1:13" ht="18.75" hidden="1">
      <c r="A351" s="360"/>
      <c r="B351" s="360"/>
      <c r="C351" s="361"/>
      <c r="D351" s="360"/>
      <c r="E351" s="360"/>
      <c r="F351" s="360"/>
      <c r="G351" s="360"/>
      <c r="H351" s="360"/>
      <c r="I351" s="362"/>
      <c r="J351" s="362"/>
      <c r="K351" s="362"/>
      <c r="L351" s="360"/>
      <c r="M351" s="360"/>
    </row>
    <row r="352" spans="1:13" ht="18.75" hidden="1">
      <c r="A352" s="360"/>
      <c r="B352" s="360" t="str">
        <f ca="1">IFERROR(__xludf.DUMMYFUNCTION("""COMPUTED_VALUE"""),"WEEK 25/2025")</f>
        <v>WEEK 25/2025</v>
      </c>
      <c r="C352" s="361"/>
      <c r="D352" s="360"/>
      <c r="E352" s="360"/>
      <c r="F352" s="360"/>
      <c r="G352" s="360"/>
      <c r="H352" s="360"/>
      <c r="I352" s="362"/>
      <c r="J352" s="362"/>
      <c r="K352" s="362"/>
      <c r="L352" s="360"/>
      <c r="M352" s="360"/>
    </row>
    <row r="353" spans="1:13" ht="18.75" hidden="1">
      <c r="A353" s="360"/>
      <c r="B353" s="360"/>
      <c r="C353" s="361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353" s="360"/>
      <c r="E353" s="360"/>
      <c r="F353" s="360"/>
      <c r="G353" s="360"/>
      <c r="H353" s="360"/>
      <c r="I353" s="362"/>
      <c r="J353" s="362"/>
      <c r="K353" s="362"/>
      <c r="L353" s="360"/>
      <c r="M353" s="360"/>
    </row>
    <row r="354" spans="1:13" ht="18.75" hidden="1">
      <c r="A354" s="360" t="str">
        <f ca="1">IFERROR(__xludf.DUMMYFUNCTION("""COMPUTED_VALUE"""),"SERVICE")</f>
        <v>SERVICE</v>
      </c>
      <c r="B354" s="360" t="str">
        <f ca="1">IFERROR(__xludf.DUMMYFUNCTION("""COMPUTED_VALUE"""),"VESSEL NAME")</f>
        <v>VESSEL NAME</v>
      </c>
      <c r="C354" s="361" t="str">
        <f ca="1">IFERROR(__xludf.DUMMYFUNCTION("""COMPUTED_VALUE"""),"PORT")</f>
        <v>PORT</v>
      </c>
      <c r="D354" s="360" t="str">
        <f ca="1">IFERROR(__xludf.DUMMYFUNCTION("""COMPUTED_VALUE"""),"PERFOMA ETD")</f>
        <v>PERFOMA ETD</v>
      </c>
      <c r="E354" s="360" t="str">
        <f ca="1">IFERROR(__xludf.DUMMYFUNCTION("""COMPUTED_VALUE"""),"EX.RATE/DATE/")</f>
        <v>EX.RATE/DATE/</v>
      </c>
      <c r="F354" s="360" t="str">
        <f ca="1">IFERROR(__xludf.DUMMYFUNCTION("""COMPUTED_VALUE"""),"SI CUT OFF USA")</f>
        <v>SI CUT OFF USA</v>
      </c>
      <c r="G354" s="360" t="str">
        <f ca="1">IFERROR(__xludf.DUMMYFUNCTION("""COMPUTED_VALUE"""),"SI CUT OFF")</f>
        <v>SI CUT OFF</v>
      </c>
      <c r="H354" s="360" t="str">
        <f ca="1">IFERROR(__xludf.DUMMYFUNCTION("""COMPUTED_VALUE"""),"B/L CFM USA")</f>
        <v>B/L CFM USA</v>
      </c>
      <c r="I354" s="362" t="str">
        <f ca="1">IFERROR(__xludf.DUMMYFUNCTION("""COMPUTED_VALUE"""),"B/L CFM CHINA,JP,VN")</f>
        <v>B/L CFM CHINA,JP,VN</v>
      </c>
      <c r="J354" s="362" t="str">
        <f ca="1">IFERROR(__xludf.DUMMYFUNCTION("""COMPUTED_VALUE"""),"B/L CONFIRM")</f>
        <v>B/L CONFIRM</v>
      </c>
      <c r="K354" s="362" t="str">
        <f ca="1">IFERROR(__xludf.DUMMYFUNCTION("""COMPUTED_VALUE"""),"ETD")</f>
        <v>ETD</v>
      </c>
      <c r="L354" s="360" t="str">
        <f ca="1">IFERROR(__xludf.DUMMYFUNCTION("""COMPUTED_VALUE"""),"ATD")</f>
        <v>ATD</v>
      </c>
      <c r="M354" s="360" t="str">
        <f ca="1">IFERROR(__xludf.DUMMYFUNCTION("""COMPUTED_VALUE"""),"B/L ISSUED DATE")</f>
        <v>B/L ISSUED DATE</v>
      </c>
    </row>
    <row r="355" spans="1:13" ht="18.75" hidden="1">
      <c r="A355" s="360"/>
      <c r="B355" s="360"/>
      <c r="C355" s="361"/>
      <c r="D355" s="360"/>
      <c r="E355" s="360" t="str">
        <f ca="1">IFERROR(__xludf.DUMMYFUNCTION("""COMPUTED_VALUE"""),"BANGKOK BANK")</f>
        <v>BANGKOK BANK</v>
      </c>
      <c r="F355" s="360" t="str">
        <f ca="1">IFERROR(__xludf.DUMMYFUNCTION("""COMPUTED_VALUE"""),"4 days before ETD")</f>
        <v>4 days before ETD</v>
      </c>
      <c r="G355" s="360"/>
      <c r="H355" s="360" t="str">
        <f ca="1">IFERROR(__xludf.DUMMYFUNCTION("""COMPUTED_VALUE"""),"3 days before ETD")</f>
        <v>3 days before ETD</v>
      </c>
      <c r="I355" s="362" t="str">
        <f ca="1">IFERROR(__xludf.DUMMYFUNCTION("""COMPUTED_VALUE"""),"Direct port CUT OFF")</f>
        <v>Direct port CUT OFF</v>
      </c>
      <c r="J355" s="362" t="str">
        <f ca="1">IFERROR(__xludf.DUMMYFUNCTION("""COMPUTED_VALUE"""),"Orther port CUT OFF")</f>
        <v>Orther port CUT OFF</v>
      </c>
      <c r="K355" s="362" t="str">
        <f ca="1">IFERROR(__xludf.DUMMYFUNCTION("""COMPUTED_VALUE"""),"ON BOARD DATE")</f>
        <v>ON BOARD DATE</v>
      </c>
      <c r="L355" s="360" t="str">
        <f ca="1">IFERROR(__xludf.DUMMYFUNCTION("""COMPUTED_VALUE"""),"วันเรือออกจริง")</f>
        <v>วันเรือออกจริง</v>
      </c>
      <c r="M355" s="360" t="str">
        <f ca="1">IFERROR(__xludf.DUMMYFUNCTION("""COMPUTED_VALUE"""),"วันปล่อยบีแอล")</f>
        <v>วันปล่อยบีแอล</v>
      </c>
    </row>
    <row r="356" spans="1:13" ht="18.75" hidden="1">
      <c r="A356" s="360"/>
      <c r="B356" s="360"/>
      <c r="C356" s="361"/>
      <c r="D356" s="360"/>
      <c r="E356" s="360"/>
      <c r="F356" s="360"/>
      <c r="G356" s="360" t="str">
        <f ca="1">IFERROR(__xludf.DUMMYFUNCTION("""COMPUTED_VALUE"""),"3 days before ETD")</f>
        <v>3 days before ETD</v>
      </c>
      <c r="H356" s="360"/>
      <c r="I356" s="362" t="str">
        <f ca="1">IFERROR(__xludf.DUMMYFUNCTION("""COMPUTED_VALUE"""),"2 days before ETD")</f>
        <v>2 days before ETD</v>
      </c>
      <c r="J356" s="362" t="str">
        <f ca="1">IFERROR(__xludf.DUMMYFUNCTION("""COMPUTED_VALUE"""),"1 days before ETD")</f>
        <v>1 days before ETD</v>
      </c>
      <c r="K356" s="362" t="str">
        <f ca="1">IFERROR(__xludf.DUMMYFUNCTION("""COMPUTED_VALUE"""),"SHOW ON B/L")</f>
        <v>SHOW ON B/L</v>
      </c>
      <c r="L356" s="360"/>
      <c r="M356" s="360"/>
    </row>
    <row r="357" spans="1:13" ht="18.75" hidden="1">
      <c r="A357" s="360" t="str">
        <f ca="1">IFERROR(__xludf.DUMMYFUNCTION("""COMPUTED_VALUE"""),"JHTS")</f>
        <v>JHTS</v>
      </c>
      <c r="B357" s="360" t="str">
        <f ca="1">IFERROR(__xludf.DUMMYFUNCTION("""COMPUTED_VALUE"""),"TS KWANGYANG V.25008N")</f>
        <v>TS KWANGYANG V.25008N</v>
      </c>
      <c r="C357" s="361" t="str">
        <f ca="1">IFERROR(__xludf.DUMMYFUNCTION("""COMPUTED_VALUE"""),"THBKK")</f>
        <v>THBKK</v>
      </c>
      <c r="D357" s="360" t="str">
        <f ca="1">IFERROR(__xludf.DUMMYFUNCTION("""COMPUTED_VALUE"""),"15/06/2025 06:00")</f>
        <v>15/06/2025 06:00</v>
      </c>
      <c r="E357" s="360" t="str">
        <f ca="1">IFERROR(__xludf.DUMMYFUNCTION("""COMPUTED_VALUE"""),"32.90 09/06/2025")</f>
        <v>32.90 09/06/2025</v>
      </c>
      <c r="F357" s="360" t="str">
        <f ca="1">IFERROR(__xludf.DUMMYFUNCTION("""COMPUTED_VALUE"""),"13/06/2025 15:00")</f>
        <v>13/06/2025 15:00</v>
      </c>
      <c r="G357" s="360" t="str">
        <f ca="1">IFERROR(__xludf.DUMMYFUNCTION("""COMPUTED_VALUE"""),"16/06/2025 15:00")</f>
        <v>16/06/2025 15:00</v>
      </c>
      <c r="H357" s="360" t="str">
        <f ca="1">IFERROR(__xludf.DUMMYFUNCTION("""COMPUTED_VALUE"""),"16/06/2025 15:00")</f>
        <v>16/06/2025 15:00</v>
      </c>
      <c r="I357" s="362" t="str">
        <f ca="1">IFERROR(__xludf.DUMMYFUNCTION("""COMPUTED_VALUE"""),"17/06/2025 15:00")</f>
        <v>17/06/2025 15:00</v>
      </c>
      <c r="J357" s="362" t="str">
        <f ca="1">IFERROR(__xludf.DUMMYFUNCTION("""COMPUTED_VALUE"""),"18/06/2025 16:00")</f>
        <v>18/06/2025 16:00</v>
      </c>
      <c r="K357" s="362" t="str">
        <f ca="1">IFERROR(__xludf.DUMMYFUNCTION("""COMPUTED_VALUE"""),"19/06/2025 21:00")</f>
        <v>19/06/2025 21:00</v>
      </c>
      <c r="L357" s="360" t="str">
        <f ca="1">IFERROR(__xludf.DUMMYFUNCTION("""COMPUTED_VALUE"""),"19/06/2025  20:00")</f>
        <v>19/06/2025  20:00</v>
      </c>
      <c r="M357" s="360" t="str">
        <f ca="1">IFERROR(__xludf.DUMMYFUNCTION("""COMPUTED_VALUE"""),"20/06/2025  MORNING")</f>
        <v>20/06/2025  MORNING</v>
      </c>
    </row>
    <row r="358" spans="1:13" ht="18.75" hidden="1">
      <c r="A358" s="360"/>
      <c r="B358" s="360"/>
      <c r="C358" s="361" t="str">
        <f ca="1">IFERROR(__xludf.DUMMYFUNCTION("""COMPUTED_VALUE"""),"THLCB")</f>
        <v>THLCB</v>
      </c>
      <c r="D358" s="360" t="str">
        <f ca="1">IFERROR(__xludf.DUMMYFUNCTION("""COMPUTED_VALUE"""),"16/06/2025 06:00")</f>
        <v>16/06/2025 06:00</v>
      </c>
      <c r="E358" s="360"/>
      <c r="F358" s="360" t="str">
        <f ca="1">IFERROR(__xludf.DUMMYFUNCTION("""COMPUTED_VALUE"""),"16/06/2025 15:00")</f>
        <v>16/06/2025 15:00</v>
      </c>
      <c r="G358" s="360" t="str">
        <f ca="1">IFERROR(__xludf.DUMMYFUNCTION("""COMPUTED_VALUE"""),"17/06/2025 15:00")</f>
        <v>17/06/2025 15:00</v>
      </c>
      <c r="H358" s="360" t="str">
        <f ca="1">IFERROR(__xludf.DUMMYFUNCTION("""COMPUTED_VALUE"""),"17/06/2025 15:00")</f>
        <v>17/06/2025 15:00</v>
      </c>
      <c r="I358" s="362" t="str">
        <f ca="1">IFERROR(__xludf.DUMMYFUNCTION("""COMPUTED_VALUE"""),"18/06/2025 15:00")</f>
        <v>18/06/2025 15:00</v>
      </c>
      <c r="J358" s="362" t="str">
        <f ca="1">IFERROR(__xludf.DUMMYFUNCTION("""COMPUTED_VALUE"""),"19/06/2025 16:00")</f>
        <v>19/06/2025 16:00</v>
      </c>
      <c r="K358" s="362" t="str">
        <f ca="1">IFERROR(__xludf.DUMMYFUNCTION("""COMPUTED_VALUE"""),"20/06/2025 18:00")</f>
        <v>20/06/2025 18:00</v>
      </c>
      <c r="L358" s="360" t="str">
        <f ca="1">IFERROR(__xludf.DUMMYFUNCTION("""COMPUTED_VALUE"""),"20/06/2025  22:00")</f>
        <v>20/06/2025  22:00</v>
      </c>
      <c r="M358" s="360" t="str">
        <f ca="1">IFERROR(__xludf.DUMMYFUNCTION("""COMPUTED_VALUE"""),"23/06/2025 MORNING")</f>
        <v>23/06/2025 MORNING</v>
      </c>
    </row>
    <row r="359" spans="1:13" ht="18.75" hidden="1">
      <c r="A359" s="360" t="str">
        <f ca="1">IFERROR(__xludf.DUMMYFUNCTION("""COMPUTED_VALUE"""),"TRX")</f>
        <v>TRX</v>
      </c>
      <c r="B359" s="360" t="str">
        <f ca="1">IFERROR(__xludf.DUMMYFUNCTION("""COMPUTED_VALUE"""),"TS NAGOYA V.25010N")</f>
        <v>TS NAGOYA V.25010N</v>
      </c>
      <c r="C359" s="361" t="str">
        <f ca="1">IFERROR(__xludf.DUMMYFUNCTION("""COMPUTED_VALUE"""),"THBKK")</f>
        <v>THBKK</v>
      </c>
      <c r="D359" s="360" t="str">
        <f ca="1">IFERROR(__xludf.DUMMYFUNCTION("""COMPUTED_VALUE"""),"17/06/2025 19:30")</f>
        <v>17/06/2025 19:30</v>
      </c>
      <c r="E359" s="360" t="str">
        <f ca="1">IFERROR(__xludf.DUMMYFUNCTION("""COMPUTED_VALUE"""),"32.91 10/06/2025")</f>
        <v>32.91 10/06/2025</v>
      </c>
      <c r="F359" s="360" t="str">
        <f ca="1">IFERROR(__xludf.DUMMYFUNCTION("""COMPUTED_VALUE"""),"13/06/2025 15:00")</f>
        <v>13/06/2025 15:00</v>
      </c>
      <c r="G359" s="360" t="str">
        <f ca="1">IFERROR(__xludf.DUMMYFUNCTION("""COMPUTED_VALUE"""),"16/06/2025 15:00")</f>
        <v>16/06/2025 15:00</v>
      </c>
      <c r="H359" s="360" t="str">
        <f ca="1">IFERROR(__xludf.DUMMYFUNCTION("""COMPUTED_VALUE"""),"16/06/2025 15:00")</f>
        <v>16/06/2025 15:00</v>
      </c>
      <c r="I359" s="362" t="str">
        <f ca="1">IFERROR(__xludf.DUMMYFUNCTION("""COMPUTED_VALUE"""),"17/06/2025 15:00")</f>
        <v>17/06/2025 15:00</v>
      </c>
      <c r="J359" s="362" t="str">
        <f ca="1">IFERROR(__xludf.DUMMYFUNCTION("""COMPUTED_VALUE"""),"18/06/2025 16:00")</f>
        <v>18/06/2025 16:00</v>
      </c>
      <c r="K359" s="362" t="str">
        <f ca="1">IFERROR(__xludf.DUMMYFUNCTION("""COMPUTED_VALUE"""),"19/06/2025 21:00")</f>
        <v>19/06/2025 21:00</v>
      </c>
      <c r="L359" s="360" t="str">
        <f ca="1">IFERROR(__xludf.DUMMYFUNCTION("""COMPUTED_VALUE"""),"19/06/2025  19:00")</f>
        <v>19/06/2025  19:00</v>
      </c>
      <c r="M359" s="360" t="str">
        <f ca="1">IFERROR(__xludf.DUMMYFUNCTION("""COMPUTED_VALUE"""),"20/06/2025  MORNING")</f>
        <v>20/06/2025  MORNING</v>
      </c>
    </row>
    <row r="360" spans="1:13" ht="18.75" hidden="1">
      <c r="A360" s="360"/>
      <c r="B360" s="360"/>
      <c r="C360" s="361" t="str">
        <f ca="1">IFERROR(__xludf.DUMMYFUNCTION("""COMPUTED_VALUE"""),"THLCB")</f>
        <v>THLCB</v>
      </c>
      <c r="D360" s="360" t="str">
        <f ca="1">IFERROR(__xludf.DUMMYFUNCTION("""COMPUTED_VALUE"""),"19/06/2025 09:00")</f>
        <v>19/06/2025 09:00</v>
      </c>
      <c r="E360" s="360"/>
      <c r="F360" s="360" t="str">
        <f ca="1">IFERROR(__xludf.DUMMYFUNCTION("""COMPUTED_VALUE"""),"16/06/2025 15:00")</f>
        <v>16/06/2025 15:00</v>
      </c>
      <c r="G360" s="360" t="str">
        <f ca="1">IFERROR(__xludf.DUMMYFUNCTION("""COMPUTED_VALUE"""),"17/06/2025 15:00")</f>
        <v>17/06/2025 15:00</v>
      </c>
      <c r="H360" s="360" t="str">
        <f ca="1">IFERROR(__xludf.DUMMYFUNCTION("""COMPUTED_VALUE"""),"17/06/2025 15:00")</f>
        <v>17/06/2025 15:00</v>
      </c>
      <c r="I360" s="362" t="str">
        <f ca="1">IFERROR(__xludf.DUMMYFUNCTION("""COMPUTED_VALUE"""),"18/06/2025 15:00")</f>
        <v>18/06/2025 15:00</v>
      </c>
      <c r="J360" s="362" t="str">
        <f ca="1">IFERROR(__xludf.DUMMYFUNCTION("""COMPUTED_VALUE"""),"19/06/2025 16:00")</f>
        <v>19/06/2025 16:00</v>
      </c>
      <c r="K360" s="362" t="str">
        <f ca="1">IFERROR(__xludf.DUMMYFUNCTION("""COMPUTED_VALUE"""),"20/06/2025 18:00")</f>
        <v>20/06/2025 18:00</v>
      </c>
      <c r="L360" s="360" t="str">
        <f ca="1">IFERROR(__xludf.DUMMYFUNCTION("""COMPUTED_VALUE"""),"20/06/2025  16:00")</f>
        <v>20/06/2025  16:00</v>
      </c>
      <c r="M360" s="360" t="str">
        <f ca="1">IFERROR(__xludf.DUMMYFUNCTION("""COMPUTED_VALUE"""),"23/06/2025 MORNING")</f>
        <v>23/06/2025 MORNING</v>
      </c>
    </row>
    <row r="361" spans="1:13" ht="18.75" hidden="1">
      <c r="A361" s="360" t="str">
        <f ca="1">IFERROR(__xludf.DUMMYFUNCTION("""COMPUTED_VALUE"""),"CHT")</f>
        <v>CHT</v>
      </c>
      <c r="B361" s="360" t="str">
        <f ca="1">IFERROR(__xludf.DUMMYFUNCTION("""COMPUTED_VALUE"""),"TS TIANJIN V.25006N")</f>
        <v>TS TIANJIN V.25006N</v>
      </c>
      <c r="C361" s="361" t="str">
        <f ca="1">IFERROR(__xludf.DUMMYFUNCTION("""COMPUTED_VALUE"""),"THBKK")</f>
        <v>THBKK</v>
      </c>
      <c r="D361" s="366">
        <f ca="1">IFERROR(__xludf.DUMMYFUNCTION("""COMPUTED_VALUE"""),45967.3333333333)</f>
        <v>45967.333333333299</v>
      </c>
      <c r="E361" s="360" t="str">
        <f ca="1">IFERROR(__xludf.DUMMYFUNCTION("""COMPUTED_VALUE"""),"32.75 12/06/2025")</f>
        <v>32.75 12/06/2025</v>
      </c>
      <c r="F361" s="360" t="str">
        <f ca="1">IFERROR(__xludf.DUMMYFUNCTION("""COMPUTED_VALUE"""),"17/06/2025 15:00")</f>
        <v>17/06/2025 15:00</v>
      </c>
      <c r="G361" s="360" t="str">
        <f ca="1">IFERROR(__xludf.DUMMYFUNCTION("""COMPUTED_VALUE"""),"18/06/2025 15:00")</f>
        <v>18/06/2025 15:00</v>
      </c>
      <c r="H361" s="360" t="str">
        <f ca="1">IFERROR(__xludf.DUMMYFUNCTION("""COMPUTED_VALUE"""),"18/06/2025 15:00")</f>
        <v>18/06/2025 15:00</v>
      </c>
      <c r="I361" s="362" t="str">
        <f ca="1">IFERROR(__xludf.DUMMYFUNCTION("""COMPUTED_VALUE"""),"19/06/2025 15:00")</f>
        <v>19/06/2025 15:00</v>
      </c>
      <c r="J361" s="362" t="str">
        <f ca="1">IFERROR(__xludf.DUMMYFUNCTION("""COMPUTED_VALUE"""),"20/06/2025 16:00")</f>
        <v>20/06/2025 16:00</v>
      </c>
      <c r="K361" s="362" t="str">
        <f ca="1">IFERROR(__xludf.DUMMYFUNCTION("""COMPUTED_VALUE"""),"21/06/2025 21:00")</f>
        <v>21/06/2025 21:00</v>
      </c>
      <c r="L361" s="360" t="str">
        <f ca="1">IFERROR(__xludf.DUMMYFUNCTION("""COMPUTED_VALUE"""),"21/06/2025  21:00")</f>
        <v>21/06/2025  21:00</v>
      </c>
      <c r="M361" s="360" t="str">
        <f ca="1">IFERROR(__xludf.DUMMYFUNCTION("""COMPUTED_VALUE"""),"23/06/2025 MORNING")</f>
        <v>23/06/2025 MORNING</v>
      </c>
    </row>
    <row r="362" spans="1:13" ht="18.75" hidden="1">
      <c r="A362" s="360"/>
      <c r="B362" s="360"/>
      <c r="C362" s="361" t="str">
        <f ca="1">IFERROR(__xludf.DUMMYFUNCTION("""COMPUTED_VALUE"""),"THLCB")</f>
        <v>THLCB</v>
      </c>
      <c r="D362" s="366">
        <f ca="1">IFERROR(__xludf.DUMMYFUNCTION("""COMPUTED_VALUE"""),45997.1666666666)</f>
        <v>45997.166666666599</v>
      </c>
      <c r="E362" s="360"/>
      <c r="F362" s="360" t="str">
        <f ca="1">IFERROR(__xludf.DUMMYFUNCTION("""COMPUTED_VALUE"""),"18/06/2025 15:00")</f>
        <v>18/06/2025 15:00</v>
      </c>
      <c r="G362" s="360" t="str">
        <f ca="1">IFERROR(__xludf.DUMMYFUNCTION("""COMPUTED_VALUE"""),"19/06/2025 15:00")</f>
        <v>19/06/2025 15:00</v>
      </c>
      <c r="H362" s="360" t="str">
        <f ca="1">IFERROR(__xludf.DUMMYFUNCTION("""COMPUTED_VALUE"""),"19/06/2025 15:00")</f>
        <v>19/06/2025 15:00</v>
      </c>
      <c r="I362" s="362" t="str">
        <f ca="1">IFERROR(__xludf.DUMMYFUNCTION("""COMPUTED_VALUE"""),"20/06/2025 15:00")</f>
        <v>20/06/2025 15:00</v>
      </c>
      <c r="J362" s="362" t="str">
        <f ca="1">IFERROR(__xludf.DUMMYFUNCTION("""COMPUTED_VALUE"""),"21/06/2025 16:00")</f>
        <v>21/06/2025 16:00</v>
      </c>
      <c r="K362" s="362" t="str">
        <f ca="1">IFERROR(__xludf.DUMMYFUNCTION("""COMPUTED_VALUE"""),"22/06/2025 15:00")</f>
        <v>22/06/2025 15:00</v>
      </c>
      <c r="L362" s="360" t="str">
        <f ca="1">IFERROR(__xludf.DUMMYFUNCTION("""COMPUTED_VALUE"""),"22/06/2025 19:50")</f>
        <v>22/06/2025 19:50</v>
      </c>
      <c r="M362" s="360" t="str">
        <f ca="1">IFERROR(__xludf.DUMMYFUNCTION("""COMPUTED_VALUE"""),"23/06/2025 NOON")</f>
        <v>23/06/2025 NOON</v>
      </c>
    </row>
    <row r="363" spans="1:13" ht="18.75" hidden="1">
      <c r="A363" s="360" t="str">
        <f ca="1">IFERROR(__xludf.DUMMYFUNCTION("""COMPUTED_VALUE"""),"CVT")</f>
        <v>CVT</v>
      </c>
      <c r="B363" s="360" t="str">
        <f ca="1">IFERROR(__xludf.DUMMYFUNCTION("""COMPUTED_VALUE"""),"AVIOS V.2509N")</f>
        <v>AVIOS V.2509N</v>
      </c>
      <c r="C363" s="361" t="str">
        <f ca="1">IFERROR(__xludf.DUMMYFUNCTION("""COMPUTED_VALUE"""),"THBKK")</f>
        <v>THBKK</v>
      </c>
      <c r="D363" s="360" t="str">
        <f ca="1">IFERROR(__xludf.DUMMYFUNCTION("""COMPUTED_VALUE"""),"19/06/2025 08:00")</f>
        <v>19/06/2025 08:00</v>
      </c>
      <c r="E363" s="360" t="str">
        <f ca="1">IFERROR(__xludf.DUMMYFUNCTION("""COMPUTED_VALUE"""),"32.71 13/06/2025")</f>
        <v>32.71 13/06/2025</v>
      </c>
      <c r="F363" s="360" t="str">
        <f ca="1">IFERROR(__xludf.DUMMYFUNCTION("""COMPUTED_VALUE"""),"18/06/2025 15:00")</f>
        <v>18/06/2025 15:00</v>
      </c>
      <c r="G363" s="360" t="str">
        <f ca="1">IFERROR(__xludf.DUMMYFUNCTION("""COMPUTED_VALUE"""),"19/06/2025 15:00")</f>
        <v>19/06/2025 15:00</v>
      </c>
      <c r="H363" s="360" t="str">
        <f ca="1">IFERROR(__xludf.DUMMYFUNCTION("""COMPUTED_VALUE"""),"19/06/2025 15:00")</f>
        <v>19/06/2025 15:00</v>
      </c>
      <c r="I363" s="362" t="str">
        <f ca="1">IFERROR(__xludf.DUMMYFUNCTION("""COMPUTED_VALUE"""),"20/06/2025 15:00")</f>
        <v>20/06/2025 15:00</v>
      </c>
      <c r="J363" s="362" t="str">
        <f ca="1">IFERROR(__xludf.DUMMYFUNCTION("""COMPUTED_VALUE"""),"21/06/2025 16:00")</f>
        <v>21/06/2025 16:00</v>
      </c>
      <c r="K363" s="362" t="str">
        <f ca="1">IFERROR(__xludf.DUMMYFUNCTION("""COMPUTED_VALUE"""),"22/06/2025 14:00")</f>
        <v>22/06/2025 14:00</v>
      </c>
      <c r="L363" s="360" t="str">
        <f ca="1">IFERROR(__xludf.DUMMYFUNCTION("""COMPUTED_VALUE"""),"22/06/2025  14:00")</f>
        <v>22/06/2025  14:00</v>
      </c>
      <c r="M363" s="360" t="str">
        <f ca="1">IFERROR(__xludf.DUMMYFUNCTION("""COMPUTED_VALUE"""),"23/06/2025 MORNING")</f>
        <v>23/06/2025 MORNING</v>
      </c>
    </row>
    <row r="364" spans="1:13" ht="18.75" hidden="1">
      <c r="A364" s="360"/>
      <c r="B364" s="360"/>
      <c r="C364" s="361" t="str">
        <f ca="1">IFERROR(__xludf.DUMMYFUNCTION("""COMPUTED_VALUE"""),"THLCB")</f>
        <v>THLCB</v>
      </c>
      <c r="D364" s="360" t="str">
        <f ca="1">IFERROR(__xludf.DUMMYFUNCTION("""COMPUTED_VALUE"""),"20/06/2025 04:00")</f>
        <v>20/06/2025 04:00</v>
      </c>
      <c r="E364" s="360"/>
      <c r="F364" s="360" t="str">
        <f ca="1">IFERROR(__xludf.DUMMYFUNCTION("""COMPUTED_VALUE"""),"19/06/2025 15:00")</f>
        <v>19/06/2025 15:00</v>
      </c>
      <c r="G364" s="360" t="str">
        <f ca="1">IFERROR(__xludf.DUMMYFUNCTION("""COMPUTED_VALUE"""),"20/06/2025 15:00")</f>
        <v>20/06/2025 15:00</v>
      </c>
      <c r="H364" s="360" t="str">
        <f ca="1">IFERROR(__xludf.DUMMYFUNCTION("""COMPUTED_VALUE"""),"21/06/2025 15:00")</f>
        <v>21/06/2025 15:00</v>
      </c>
      <c r="I364" s="362" t="str">
        <f ca="1">IFERROR(__xludf.DUMMYFUNCTION("""COMPUTED_VALUE"""),"22/06/2025 15:00")</f>
        <v>22/06/2025 15:00</v>
      </c>
      <c r="J364" s="362" t="str">
        <f ca="1">IFERROR(__xludf.DUMMYFUNCTION("""COMPUTED_VALUE"""),"23/06/2025 16:00")</f>
        <v>23/06/2025 16:00</v>
      </c>
      <c r="K364" s="362" t="str">
        <f ca="1">IFERROR(__xludf.DUMMYFUNCTION("""COMPUTED_VALUE"""),"24/06/2025 14:00")</f>
        <v>24/06/2025 14:00</v>
      </c>
      <c r="L364" s="360" t="str">
        <f ca="1">IFERROR(__xludf.DUMMYFUNCTION("""COMPUTED_VALUE"""),"24/06/2025  08:00")</f>
        <v>24/06/2025  08:00</v>
      </c>
      <c r="M364" s="360" t="str">
        <f ca="1">IFERROR(__xludf.DUMMYFUNCTION("""COMPUTED_VALUE"""),"24/06/2025 NOON")</f>
        <v>24/06/2025 NOON</v>
      </c>
    </row>
    <row r="365" spans="1:13" ht="18.75">
      <c r="A365" s="360"/>
      <c r="B365" s="360"/>
      <c r="C365" s="361"/>
      <c r="D365" s="360"/>
      <c r="E365" s="360"/>
      <c r="F365" s="360"/>
      <c r="G365" s="360"/>
      <c r="H365" s="360"/>
      <c r="I365" s="362"/>
      <c r="J365" s="362"/>
      <c r="K365" s="362"/>
      <c r="L365" s="360"/>
      <c r="M365" s="360"/>
    </row>
    <row r="366" spans="1:13" ht="18.75">
      <c r="A366" s="360"/>
      <c r="B366" s="360" t="str">
        <f ca="1">IFERROR(__xludf.DUMMYFUNCTION("""COMPUTED_VALUE"""),"WEEK 24/2025")</f>
        <v>WEEK 24/2025</v>
      </c>
      <c r="C366" s="361"/>
      <c r="D366" s="360"/>
      <c r="E366" s="360"/>
      <c r="F366" s="360"/>
      <c r="G366" s="360"/>
      <c r="H366" s="360"/>
      <c r="I366" s="362"/>
      <c r="J366" s="362"/>
      <c r="K366" s="362"/>
      <c r="L366" s="360"/>
      <c r="M366" s="360"/>
    </row>
    <row r="367" spans="1:13" ht="18.75">
      <c r="A367" s="360"/>
      <c r="B367" s="360"/>
      <c r="C367" s="361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367" s="360"/>
      <c r="E367" s="360"/>
      <c r="F367" s="360"/>
      <c r="G367" s="360"/>
      <c r="H367" s="360"/>
      <c r="I367" s="362"/>
      <c r="J367" s="362"/>
      <c r="K367" s="362"/>
      <c r="L367" s="360"/>
      <c r="M367" s="360"/>
    </row>
    <row r="368" spans="1:13" ht="18.75">
      <c r="A368" s="360" t="str">
        <f ca="1">IFERROR(__xludf.DUMMYFUNCTION("""COMPUTED_VALUE"""),"SERVICE")</f>
        <v>SERVICE</v>
      </c>
      <c r="B368" s="360" t="str">
        <f ca="1">IFERROR(__xludf.DUMMYFUNCTION("""COMPUTED_VALUE"""),"VESSEL NAME")</f>
        <v>VESSEL NAME</v>
      </c>
      <c r="C368" s="361" t="str">
        <f ca="1">IFERROR(__xludf.DUMMYFUNCTION("""COMPUTED_VALUE"""),"PORT")</f>
        <v>PORT</v>
      </c>
      <c r="D368" s="360" t="str">
        <f ca="1">IFERROR(__xludf.DUMMYFUNCTION("""COMPUTED_VALUE"""),"PERFOMA ETD")</f>
        <v>PERFOMA ETD</v>
      </c>
      <c r="E368" s="360" t="str">
        <f ca="1">IFERROR(__xludf.DUMMYFUNCTION("""COMPUTED_VALUE"""),"EX.RATE/DATE/")</f>
        <v>EX.RATE/DATE/</v>
      </c>
      <c r="F368" s="360" t="str">
        <f ca="1">IFERROR(__xludf.DUMMYFUNCTION("""COMPUTED_VALUE"""),"SI CUT OFF USA")</f>
        <v>SI CUT OFF USA</v>
      </c>
      <c r="G368" s="360" t="str">
        <f ca="1">IFERROR(__xludf.DUMMYFUNCTION("""COMPUTED_VALUE"""),"SI CUT OFF")</f>
        <v>SI CUT OFF</v>
      </c>
      <c r="H368" s="360" t="str">
        <f ca="1">IFERROR(__xludf.DUMMYFUNCTION("""COMPUTED_VALUE"""),"B/L CFM USA")</f>
        <v>B/L CFM USA</v>
      </c>
      <c r="I368" s="362" t="str">
        <f ca="1">IFERROR(__xludf.DUMMYFUNCTION("""COMPUTED_VALUE"""),"B/L CFM CHINA,JP,VN")</f>
        <v>B/L CFM CHINA,JP,VN</v>
      </c>
      <c r="J368" s="362" t="str">
        <f ca="1">IFERROR(__xludf.DUMMYFUNCTION("""COMPUTED_VALUE"""),"B/L CONFIRM")</f>
        <v>B/L CONFIRM</v>
      </c>
      <c r="K368" s="362" t="str">
        <f ca="1">IFERROR(__xludf.DUMMYFUNCTION("""COMPUTED_VALUE"""),"ETD")</f>
        <v>ETD</v>
      </c>
      <c r="L368" s="360" t="str">
        <f ca="1">IFERROR(__xludf.DUMMYFUNCTION("""COMPUTED_VALUE"""),"ATD")</f>
        <v>ATD</v>
      </c>
      <c r="M368" s="360" t="str">
        <f ca="1">IFERROR(__xludf.DUMMYFUNCTION("""COMPUTED_VALUE"""),"B/L ISSUED DATE")</f>
        <v>B/L ISSUED DATE</v>
      </c>
    </row>
    <row r="369" spans="1:13" ht="18.75">
      <c r="A369" s="360"/>
      <c r="B369" s="360"/>
      <c r="C369" s="361"/>
      <c r="D369" s="360"/>
      <c r="E369" s="360" t="str">
        <f ca="1">IFERROR(__xludf.DUMMYFUNCTION("""COMPUTED_VALUE"""),"BANGKOK BANK")</f>
        <v>BANGKOK BANK</v>
      </c>
      <c r="F369" s="360" t="str">
        <f ca="1">IFERROR(__xludf.DUMMYFUNCTION("""COMPUTED_VALUE"""),"4 days before ETD")</f>
        <v>4 days before ETD</v>
      </c>
      <c r="G369" s="360"/>
      <c r="H369" s="360" t="str">
        <f ca="1">IFERROR(__xludf.DUMMYFUNCTION("""COMPUTED_VALUE"""),"3 days before ETD")</f>
        <v>3 days before ETD</v>
      </c>
      <c r="I369" s="362" t="str">
        <f ca="1">IFERROR(__xludf.DUMMYFUNCTION("""COMPUTED_VALUE"""),"Direct port CUT OFF")</f>
        <v>Direct port CUT OFF</v>
      </c>
      <c r="J369" s="362" t="str">
        <f ca="1">IFERROR(__xludf.DUMMYFUNCTION("""COMPUTED_VALUE"""),"Orther port CUT OFF")</f>
        <v>Orther port CUT OFF</v>
      </c>
      <c r="K369" s="362" t="str">
        <f ca="1">IFERROR(__xludf.DUMMYFUNCTION("""COMPUTED_VALUE"""),"ON BOARD DATE")</f>
        <v>ON BOARD DATE</v>
      </c>
      <c r="L369" s="360" t="str">
        <f ca="1">IFERROR(__xludf.DUMMYFUNCTION("""COMPUTED_VALUE"""),"วันเรือออกจริง")</f>
        <v>วันเรือออกจริง</v>
      </c>
      <c r="M369" s="360" t="str">
        <f ca="1">IFERROR(__xludf.DUMMYFUNCTION("""COMPUTED_VALUE"""),"วันปล่อยบีแอล")</f>
        <v>วันปล่อยบีแอล</v>
      </c>
    </row>
    <row r="370" spans="1:13" ht="18.75">
      <c r="A370" s="360"/>
      <c r="B370" s="360"/>
      <c r="C370" s="361"/>
      <c r="D370" s="360"/>
      <c r="E370" s="360"/>
      <c r="F370" s="360"/>
      <c r="G370" s="360" t="str">
        <f ca="1">IFERROR(__xludf.DUMMYFUNCTION("""COMPUTED_VALUE"""),"3 days before ETD")</f>
        <v>3 days before ETD</v>
      </c>
      <c r="H370" s="360"/>
      <c r="I370" s="362" t="str">
        <f ca="1">IFERROR(__xludf.DUMMYFUNCTION("""COMPUTED_VALUE"""),"2 days before ETD")</f>
        <v>2 days before ETD</v>
      </c>
      <c r="J370" s="362" t="str">
        <f ca="1">IFERROR(__xludf.DUMMYFUNCTION("""COMPUTED_VALUE"""),"1 days before ETD")</f>
        <v>1 days before ETD</v>
      </c>
      <c r="K370" s="362" t="str">
        <f ca="1">IFERROR(__xludf.DUMMYFUNCTION("""COMPUTED_VALUE"""),"SHOW ON B/L")</f>
        <v>SHOW ON B/L</v>
      </c>
      <c r="L370" s="360"/>
      <c r="M370" s="360"/>
    </row>
    <row r="371" spans="1:13" ht="18.75">
      <c r="A371" s="360" t="str">
        <f ca="1">IFERROR(__xludf.DUMMYFUNCTION("""COMPUTED_VALUE"""),"JHTS")</f>
        <v>JHTS</v>
      </c>
      <c r="B371" s="360" t="str">
        <f ca="1">IFERROR(__xludf.DUMMYFUNCTION("""COMPUTED_VALUE"""),"TS XIAMEN V.25009N")</f>
        <v>TS XIAMEN V.25009N</v>
      </c>
      <c r="C371" s="361" t="str">
        <f ca="1">IFERROR(__xludf.DUMMYFUNCTION("""COMPUTED_VALUE"""),"THBKK")</f>
        <v>THBKK</v>
      </c>
      <c r="D371" s="366">
        <f ca="1">IFERROR(__xludf.DUMMYFUNCTION("""COMPUTED_VALUE"""),45875.25)</f>
        <v>45875.25</v>
      </c>
      <c r="E371" s="360" t="str">
        <f ca="1">IFERROR(__xludf.DUMMYFUNCTION("""COMPUTED_VALUE"""),"33.05  30/05/2025")</f>
        <v>33.05  30/05/2025</v>
      </c>
      <c r="F371" s="366">
        <f ca="1">IFERROR(__xludf.DUMMYFUNCTION("""COMPUTED_VALUE"""),45814.5416666666)</f>
        <v>45814.541666666599</v>
      </c>
      <c r="G371" s="366">
        <f ca="1">IFERROR(__xludf.DUMMYFUNCTION("""COMPUTED_VALUE"""),45844.625)</f>
        <v>45844.625</v>
      </c>
      <c r="H371" s="366">
        <f ca="1">IFERROR(__xludf.DUMMYFUNCTION("""COMPUTED_VALUE"""),45844.5416666666)</f>
        <v>45844.541666666599</v>
      </c>
      <c r="I371" s="369">
        <f ca="1">IFERROR(__xludf.DUMMYFUNCTION("""COMPUTED_VALUE"""),45906.625)</f>
        <v>45906.625</v>
      </c>
      <c r="J371" s="369">
        <f ca="1">IFERROR(__xludf.DUMMYFUNCTION("""COMPUTED_VALUE"""),45936.6666666666)</f>
        <v>45936.666666666599</v>
      </c>
      <c r="K371" s="370">
        <f ca="1">IFERROR(__xludf.DUMMYFUNCTION("""COMPUTED_VALUE"""),45967.625)</f>
        <v>45967.625</v>
      </c>
      <c r="L371" s="366">
        <f ca="1">IFERROR(__xludf.DUMMYFUNCTION("""COMPUTED_VALUE"""),45967.625)</f>
        <v>45967.625</v>
      </c>
      <c r="M371" s="360" t="str">
        <f ca="1">IFERROR(__xludf.DUMMYFUNCTION("""COMPUTED_VALUE"""),"12/06/2025 MORNING")</f>
        <v>12/06/2025 MORNING</v>
      </c>
    </row>
    <row r="372" spans="1:13" ht="18.75">
      <c r="A372" s="360"/>
      <c r="B372" s="360"/>
      <c r="C372" s="361" t="str">
        <f ca="1">IFERROR(__xludf.DUMMYFUNCTION("""COMPUTED_VALUE"""),"THLCB")</f>
        <v>THLCB</v>
      </c>
      <c r="D372" s="366">
        <f ca="1">IFERROR(__xludf.DUMMYFUNCTION("""COMPUTED_VALUE"""),45906.25)</f>
        <v>45906.25</v>
      </c>
      <c r="E372" s="360"/>
      <c r="F372" s="366">
        <f ca="1">IFERROR(__xludf.DUMMYFUNCTION("""COMPUTED_VALUE"""),45875.5416666666)</f>
        <v>45875.541666666599</v>
      </c>
      <c r="G372" s="366">
        <f ca="1">IFERROR(__xludf.DUMMYFUNCTION("""COMPUTED_VALUE"""),45906.625)</f>
        <v>45906.625</v>
      </c>
      <c r="H372" s="366">
        <f ca="1">IFERROR(__xludf.DUMMYFUNCTION("""COMPUTED_VALUE"""),45906.5416666666)</f>
        <v>45906.541666666599</v>
      </c>
      <c r="I372" s="369">
        <f ca="1">IFERROR(__xludf.DUMMYFUNCTION("""COMPUTED_VALUE"""),45936.625)</f>
        <v>45936.625</v>
      </c>
      <c r="J372" s="369">
        <f ca="1">IFERROR(__xludf.DUMMYFUNCTION("""COMPUTED_VALUE"""),45967.6666666666)</f>
        <v>45967.666666666599</v>
      </c>
      <c r="K372" s="369">
        <f ca="1">IFERROR(__xludf.DUMMYFUNCTION("""COMPUTED_VALUE"""),45997.75)</f>
        <v>45997.75</v>
      </c>
      <c r="L372" s="366">
        <f ca="1">IFERROR(__xludf.DUMMYFUNCTION("""COMPUTED_VALUE"""),45997.75)</f>
        <v>45997.75</v>
      </c>
      <c r="M372" s="360" t="str">
        <f ca="1">IFERROR(__xludf.DUMMYFUNCTION("""COMPUTED_VALUE"""),"13/06/2025 MORNING")</f>
        <v>13/06/2025 MORNING</v>
      </c>
    </row>
    <row r="373" spans="1:13" ht="18.75">
      <c r="A373" s="360" t="str">
        <f ca="1">IFERROR(__xludf.DUMMYFUNCTION("""COMPUTED_VALUE"""),"CHT")</f>
        <v>CHT</v>
      </c>
      <c r="B373" s="360" t="str">
        <f ca="1">IFERROR(__xludf.DUMMYFUNCTION("""COMPUTED_VALUE"""),"SAWASDEE RIGEL V.2506N")</f>
        <v>SAWASDEE RIGEL V.2506N</v>
      </c>
      <c r="C373" s="361" t="str">
        <f ca="1">IFERROR(__xludf.DUMMYFUNCTION("""COMPUTED_VALUE"""),"THBKK")</f>
        <v>THBKK</v>
      </c>
      <c r="D373" s="360" t="str">
        <f ca="1">IFERROR(__xludf.DUMMYFUNCTION("""COMPUTED_VALUE"""),"28/05/2025 08:00")</f>
        <v>28/05/2025 08:00</v>
      </c>
      <c r="E373" s="360" t="str">
        <f ca="1">IFERROR(__xludf.DUMMYFUNCTION("""COMPUTED_VALUE"""),"33.05  30/05/2025")</f>
        <v>33.05  30/05/2025</v>
      </c>
      <c r="F373" s="366">
        <f ca="1">IFERROR(__xludf.DUMMYFUNCTION("""COMPUTED_VALUE"""),45906.5416666666)</f>
        <v>45906.541666666599</v>
      </c>
      <c r="G373" s="366">
        <f ca="1">IFERROR(__xludf.DUMMYFUNCTION("""COMPUTED_VALUE"""),45936.625)</f>
        <v>45936.625</v>
      </c>
      <c r="H373" s="366">
        <f ca="1">IFERROR(__xludf.DUMMYFUNCTION("""COMPUTED_VALUE"""),45936.5416666666)</f>
        <v>45936.541666666599</v>
      </c>
      <c r="I373" s="369">
        <f ca="1">IFERROR(__xludf.DUMMYFUNCTION("""COMPUTED_VALUE"""),45967.625)</f>
        <v>45967.625</v>
      </c>
      <c r="J373" s="369">
        <f ca="1">IFERROR(__xludf.DUMMYFUNCTION("""COMPUTED_VALUE"""),45997.6666666666)</f>
        <v>45997.666666666599</v>
      </c>
      <c r="K373" s="362" t="str">
        <f ca="1">IFERROR(__xludf.DUMMYFUNCTION("""COMPUTED_VALUE"""),"14/06/2024 17:00")</f>
        <v>14/06/2024 17:00</v>
      </c>
      <c r="L373" s="366" t="str">
        <f ca="1">IFERROR(__xludf.DUMMYFUNCTION("""COMPUTED_VALUE"""),"14/06/2025  16:00")</f>
        <v>14/06/2025  16:00</v>
      </c>
      <c r="M373" s="360" t="str">
        <f ca="1">IFERROR(__xludf.DUMMYFUNCTION("""COMPUTED_VALUE"""),"16/06/2025 MORNING")</f>
        <v>16/06/2025 MORNING</v>
      </c>
    </row>
    <row r="374" spans="1:13" ht="18.75">
      <c r="A374" s="360"/>
      <c r="B374" s="360"/>
      <c r="C374" s="361" t="str">
        <f ca="1">IFERROR(__xludf.DUMMYFUNCTION("""COMPUTED_VALUE"""),"THLCB")</f>
        <v>THLCB</v>
      </c>
      <c r="D374" s="360" t="str">
        <f ca="1">IFERROR(__xludf.DUMMYFUNCTION("""COMPUTED_VALUE"""),"29/05/2025 04:00")</f>
        <v>29/05/2025 04:00</v>
      </c>
      <c r="E374" s="360"/>
      <c r="F374" s="366">
        <f ca="1">IFERROR(__xludf.DUMMYFUNCTION("""COMPUTED_VALUE"""),45936.5416666666)</f>
        <v>45936.541666666599</v>
      </c>
      <c r="G374" s="366">
        <f ca="1">IFERROR(__xludf.DUMMYFUNCTION("""COMPUTED_VALUE"""),45967.625)</f>
        <v>45967.625</v>
      </c>
      <c r="H374" s="366">
        <f ca="1">IFERROR(__xludf.DUMMYFUNCTION("""COMPUTED_VALUE"""),45967.5416666666)</f>
        <v>45967.541666666599</v>
      </c>
      <c r="I374" s="369">
        <f ca="1">IFERROR(__xludf.DUMMYFUNCTION("""COMPUTED_VALUE"""),45997.625)</f>
        <v>45997.625</v>
      </c>
      <c r="J374" s="362" t="str">
        <f ca="1">IFERROR(__xludf.DUMMYFUNCTION("""COMPUTED_VALUE"""),"13/06/2025 16:00")</f>
        <v>13/06/2025 16:00</v>
      </c>
      <c r="K374" s="362" t="str">
        <f ca="1">IFERROR(__xludf.DUMMYFUNCTION("""COMPUTED_VALUE"""),"15/06/2025 11:00")</f>
        <v>15/06/2025 11:00</v>
      </c>
      <c r="L374" s="366" t="str">
        <f ca="1">IFERROR(__xludf.DUMMYFUNCTION("""COMPUTED_VALUE"""),"15/06/2025  13:00")</f>
        <v>15/06/2025  13:00</v>
      </c>
      <c r="M374" s="360" t="str">
        <f ca="1">IFERROR(__xludf.DUMMYFUNCTION("""COMPUTED_VALUE"""),"16/06/2025 MORNING")</f>
        <v>16/06/2025 MORNING</v>
      </c>
    </row>
    <row r="375" spans="1:13" ht="18.75">
      <c r="A375" s="360" t="str">
        <f ca="1">IFERROR(__xludf.DUMMYFUNCTION("""COMPUTED_VALUE"""),"CVT")</f>
        <v>CVT</v>
      </c>
      <c r="B375" s="360" t="str">
        <f ca="1">IFERROR(__xludf.DUMMYFUNCTION("""COMPUTED_VALUE"""),"TS QINGDAO V.25008N")</f>
        <v>TS QINGDAO V.25008N</v>
      </c>
      <c r="C375" s="361" t="str">
        <f ca="1">IFERROR(__xludf.DUMMYFUNCTION("""COMPUTED_VALUE"""),"THBKK")</f>
        <v>THBKK</v>
      </c>
      <c r="D375" s="366">
        <f ca="1">IFERROR(__xludf.DUMMYFUNCTION("""COMPUTED_VALUE"""),45997.3333333333)</f>
        <v>45997.333333333299</v>
      </c>
      <c r="E375" s="360" t="str">
        <f ca="1">IFERROR(__xludf.DUMMYFUNCTION("""COMPUTED_VALUE"""),"32.76  05/06/2025")</f>
        <v>32.76  05/06/2025</v>
      </c>
      <c r="F375" s="366">
        <f ca="1">IFERROR(__xludf.DUMMYFUNCTION("""COMPUTED_VALUE"""),45906.5416666666)</f>
        <v>45906.541666666599</v>
      </c>
      <c r="G375" s="366">
        <f ca="1">IFERROR(__xludf.DUMMYFUNCTION("""COMPUTED_VALUE"""),45936.625)</f>
        <v>45936.625</v>
      </c>
      <c r="H375" s="366">
        <f ca="1">IFERROR(__xludf.DUMMYFUNCTION("""COMPUTED_VALUE"""),45936.5416666666)</f>
        <v>45936.541666666599</v>
      </c>
      <c r="I375" s="369">
        <f ca="1">IFERROR(__xludf.DUMMYFUNCTION("""COMPUTED_VALUE"""),45967.625)</f>
        <v>45967.625</v>
      </c>
      <c r="J375" s="369">
        <f ca="1">IFERROR(__xludf.DUMMYFUNCTION("""COMPUTED_VALUE"""),45997.6666666666)</f>
        <v>45997.666666666599</v>
      </c>
      <c r="K375" s="362" t="str">
        <f ca="1">IFERROR(__xludf.DUMMYFUNCTION("""COMPUTED_VALUE"""),"13/06/2025 10:00")</f>
        <v>13/06/2025 10:00</v>
      </c>
      <c r="L375" s="366" t="str">
        <f ca="1">IFERROR(__xludf.DUMMYFUNCTION("""COMPUTED_VALUE"""),"13/06/2025  02:00")</f>
        <v>13/06/2025  02:00</v>
      </c>
      <c r="M375" s="360" t="str">
        <f ca="1">IFERROR(__xludf.DUMMYFUNCTION("""COMPUTED_VALUE"""),"13/06/2025 NOON")</f>
        <v>13/06/2025 NOON</v>
      </c>
    </row>
    <row r="376" spans="1:13" ht="18.75">
      <c r="A376" s="360"/>
      <c r="B376" s="360"/>
      <c r="C376" s="361" t="str">
        <f ca="1">IFERROR(__xludf.DUMMYFUNCTION("""COMPUTED_VALUE"""),"THLCB")</f>
        <v>THLCB</v>
      </c>
      <c r="D376" s="360" t="str">
        <f ca="1">IFERROR(__xludf.DUMMYFUNCTION("""COMPUTED_VALUE"""),"13/06/2025 04:00")</f>
        <v>13/06/2025 04:00</v>
      </c>
      <c r="E376" s="360"/>
      <c r="F376" s="366">
        <f ca="1">IFERROR(__xludf.DUMMYFUNCTION("""COMPUTED_VALUE"""),45936.5416666666)</f>
        <v>45936.541666666599</v>
      </c>
      <c r="G376" s="366">
        <f ca="1">IFERROR(__xludf.DUMMYFUNCTION("""COMPUTED_VALUE"""),45967.625)</f>
        <v>45967.625</v>
      </c>
      <c r="H376" s="366">
        <f ca="1">IFERROR(__xludf.DUMMYFUNCTION("""COMPUTED_VALUE"""),45967.5416666666)</f>
        <v>45967.541666666599</v>
      </c>
      <c r="I376" s="369">
        <f ca="1">IFERROR(__xludf.DUMMYFUNCTION("""COMPUTED_VALUE"""),45997.625)</f>
        <v>45997.625</v>
      </c>
      <c r="J376" s="362" t="str">
        <f ca="1">IFERROR(__xludf.DUMMYFUNCTION("""COMPUTED_VALUE"""),"13/06/2025 16:00")</f>
        <v>13/06/2025 16:00</v>
      </c>
      <c r="K376" s="370" t="str">
        <f ca="1">IFERROR(__xludf.DUMMYFUNCTION("""COMPUTED_VALUE"""),"14/06/2025 15:00")</f>
        <v>14/06/2025 15:00</v>
      </c>
      <c r="L376" s="360" t="str">
        <f ca="1">IFERROR(__xludf.DUMMYFUNCTION("""COMPUTED_VALUE"""),"14/06/2025  15:00")</f>
        <v>14/06/2025  15:00</v>
      </c>
      <c r="M376" s="360" t="str">
        <f ca="1">IFERROR(__xludf.DUMMYFUNCTION("""COMPUTED_VALUE"""),"16/06/2025 MORNING")</f>
        <v>16/06/2025 MORNING</v>
      </c>
    </row>
    <row r="377" spans="1:13" ht="18.75">
      <c r="A377" s="360"/>
      <c r="B377" s="360"/>
      <c r="C377" s="361"/>
      <c r="D377" s="360"/>
      <c r="E377" s="360"/>
      <c r="F377" s="360"/>
      <c r="G377" s="360"/>
      <c r="H377" s="360"/>
      <c r="I377" s="362"/>
      <c r="J377" s="362"/>
      <c r="K377" s="362"/>
      <c r="L377" s="360"/>
      <c r="M377" s="360"/>
    </row>
    <row r="378" spans="1:13" ht="18.75">
      <c r="A378" s="360"/>
      <c r="B378" s="360" t="str">
        <f ca="1">IFERROR(__xludf.DUMMYFUNCTION("""COMPUTED_VALUE"""),"WEEK 23/2025")</f>
        <v>WEEK 23/2025</v>
      </c>
      <c r="C378" s="361" t="str">
        <f ca="1">IFERROR(__xludf.DUMMYFUNCTION("""COMPUTED_VALUE"""),"03 JUN 2025 Holidays Queen Suthida's Birthday")</f>
        <v>03 JUN 2025 Holidays Queen Suthida's Birthday</v>
      </c>
      <c r="D378" s="360"/>
      <c r="E378" s="360"/>
      <c r="F378" s="360"/>
      <c r="G378" s="360"/>
      <c r="H378" s="360"/>
      <c r="I378" s="362"/>
      <c r="J378" s="362"/>
      <c r="K378" s="362"/>
      <c r="L378" s="360"/>
      <c r="M378" s="360"/>
    </row>
    <row r="379" spans="1:13" ht="18.75">
      <c r="A379" s="360"/>
      <c r="B379" s="360"/>
      <c r="C379" s="361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379" s="360"/>
      <c r="E379" s="360"/>
      <c r="F379" s="360"/>
      <c r="G379" s="360"/>
      <c r="H379" s="360"/>
      <c r="I379" s="362"/>
      <c r="J379" s="362"/>
      <c r="K379" s="362"/>
      <c r="L379" s="360"/>
      <c r="M379" s="360"/>
    </row>
    <row r="380" spans="1:13" ht="18.75">
      <c r="A380" s="360" t="str">
        <f ca="1">IFERROR(__xludf.DUMMYFUNCTION("""COMPUTED_VALUE"""),"SERVICE")</f>
        <v>SERVICE</v>
      </c>
      <c r="B380" s="360" t="str">
        <f ca="1">IFERROR(__xludf.DUMMYFUNCTION("""COMPUTED_VALUE"""),"VESSEL NAME")</f>
        <v>VESSEL NAME</v>
      </c>
      <c r="C380" s="361" t="str">
        <f ca="1">IFERROR(__xludf.DUMMYFUNCTION("""COMPUTED_VALUE"""),"PORT")</f>
        <v>PORT</v>
      </c>
      <c r="D380" s="360" t="str">
        <f ca="1">IFERROR(__xludf.DUMMYFUNCTION("""COMPUTED_VALUE"""),"PERFOMA ETD")</f>
        <v>PERFOMA ETD</v>
      </c>
      <c r="E380" s="360" t="str">
        <f ca="1">IFERROR(__xludf.DUMMYFUNCTION("""COMPUTED_VALUE"""),"EX.RATE/DATE/")</f>
        <v>EX.RATE/DATE/</v>
      </c>
      <c r="F380" s="360" t="str">
        <f ca="1">IFERROR(__xludf.DUMMYFUNCTION("""COMPUTED_VALUE"""),"SI CUT OFF USA")</f>
        <v>SI CUT OFF USA</v>
      </c>
      <c r="G380" s="360" t="str">
        <f ca="1">IFERROR(__xludf.DUMMYFUNCTION("""COMPUTED_VALUE"""),"SI CUT OFF")</f>
        <v>SI CUT OFF</v>
      </c>
      <c r="H380" s="360" t="str">
        <f ca="1">IFERROR(__xludf.DUMMYFUNCTION("""COMPUTED_VALUE"""),"B/L CFM USA")</f>
        <v>B/L CFM USA</v>
      </c>
      <c r="I380" s="362" t="str">
        <f ca="1">IFERROR(__xludf.DUMMYFUNCTION("""COMPUTED_VALUE"""),"B/L CFM CHINA,JP,VN")</f>
        <v>B/L CFM CHINA,JP,VN</v>
      </c>
      <c r="J380" s="362" t="str">
        <f ca="1">IFERROR(__xludf.DUMMYFUNCTION("""COMPUTED_VALUE"""),"B/L CONFIRM")</f>
        <v>B/L CONFIRM</v>
      </c>
      <c r="K380" s="362" t="str">
        <f ca="1">IFERROR(__xludf.DUMMYFUNCTION("""COMPUTED_VALUE"""),"ETD")</f>
        <v>ETD</v>
      </c>
      <c r="L380" s="360" t="str">
        <f ca="1">IFERROR(__xludf.DUMMYFUNCTION("""COMPUTED_VALUE"""),"ATD")</f>
        <v>ATD</v>
      </c>
      <c r="M380" s="360" t="str">
        <f ca="1">IFERROR(__xludf.DUMMYFUNCTION("""COMPUTED_VALUE"""),"B/L ISSUED DATE")</f>
        <v>B/L ISSUED DATE</v>
      </c>
    </row>
    <row r="381" spans="1:13" ht="18.75">
      <c r="A381" s="360"/>
      <c r="B381" s="360"/>
      <c r="C381" s="361"/>
      <c r="D381" s="360"/>
      <c r="E381" s="360" t="str">
        <f ca="1">IFERROR(__xludf.DUMMYFUNCTION("""COMPUTED_VALUE"""),"BANGKOK BANK")</f>
        <v>BANGKOK BANK</v>
      </c>
      <c r="F381" s="360" t="str">
        <f ca="1">IFERROR(__xludf.DUMMYFUNCTION("""COMPUTED_VALUE"""),"4 days before ETD")</f>
        <v>4 days before ETD</v>
      </c>
      <c r="G381" s="360"/>
      <c r="H381" s="360" t="str">
        <f ca="1">IFERROR(__xludf.DUMMYFUNCTION("""COMPUTED_VALUE"""),"3 days before ETD")</f>
        <v>3 days before ETD</v>
      </c>
      <c r="I381" s="362" t="str">
        <f ca="1">IFERROR(__xludf.DUMMYFUNCTION("""COMPUTED_VALUE"""),"Direct port CUT OFF")</f>
        <v>Direct port CUT OFF</v>
      </c>
      <c r="J381" s="362" t="str">
        <f ca="1">IFERROR(__xludf.DUMMYFUNCTION("""COMPUTED_VALUE"""),"Orther port CUT OFF")</f>
        <v>Orther port CUT OFF</v>
      </c>
      <c r="K381" s="362" t="str">
        <f ca="1">IFERROR(__xludf.DUMMYFUNCTION("""COMPUTED_VALUE"""),"ON BOARD DATE")</f>
        <v>ON BOARD DATE</v>
      </c>
      <c r="L381" s="360" t="str">
        <f ca="1">IFERROR(__xludf.DUMMYFUNCTION("""COMPUTED_VALUE"""),"วันเรือออกจริง")</f>
        <v>วันเรือออกจริง</v>
      </c>
      <c r="M381" s="360" t="str">
        <f ca="1">IFERROR(__xludf.DUMMYFUNCTION("""COMPUTED_VALUE"""),"วันปล่อยบีแอล")</f>
        <v>วันปล่อยบีแอล</v>
      </c>
    </row>
    <row r="382" spans="1:13" ht="18.75">
      <c r="A382" s="360"/>
      <c r="B382" s="360"/>
      <c r="C382" s="361"/>
      <c r="D382" s="360"/>
      <c r="E382" s="360"/>
      <c r="F382" s="360"/>
      <c r="G382" s="360" t="str">
        <f ca="1">IFERROR(__xludf.DUMMYFUNCTION("""COMPUTED_VALUE"""),"3 days before ETD")</f>
        <v>3 days before ETD</v>
      </c>
      <c r="H382" s="360"/>
      <c r="I382" s="362" t="str">
        <f ca="1">IFERROR(__xludf.DUMMYFUNCTION("""COMPUTED_VALUE"""),"2 days before ETD")</f>
        <v>2 days before ETD</v>
      </c>
      <c r="J382" s="362" t="str">
        <f ca="1">IFERROR(__xludf.DUMMYFUNCTION("""COMPUTED_VALUE"""),"1 days before ETD")</f>
        <v>1 days before ETD</v>
      </c>
      <c r="K382" s="362" t="str">
        <f ca="1">IFERROR(__xludf.DUMMYFUNCTION("""COMPUTED_VALUE"""),"SHOW ON B/L")</f>
        <v>SHOW ON B/L</v>
      </c>
      <c r="L382" s="360"/>
      <c r="M382" s="360"/>
    </row>
    <row r="383" spans="1:13" ht="18.75">
      <c r="A383" s="360" t="str">
        <f ca="1">IFERROR(__xludf.DUMMYFUNCTION("""COMPUTED_VALUE"""),"TRX")</f>
        <v>TRX</v>
      </c>
      <c r="B383" s="360" t="str">
        <f ca="1">IFERROR(__xludf.DUMMYFUNCTION("""COMPUTED_VALUE"""),"TS NAGOYA V.25009N")</f>
        <v>TS NAGOYA V.25009N</v>
      </c>
      <c r="C383" s="361" t="str">
        <f ca="1">IFERROR(__xludf.DUMMYFUNCTION("""COMPUTED_VALUE"""),"THBKK")</f>
        <v>THBKK</v>
      </c>
      <c r="D383" s="366">
        <f ca="1">IFERROR(__xludf.DUMMYFUNCTION("""COMPUTED_VALUE"""),45722.8125)</f>
        <v>45722.8125</v>
      </c>
      <c r="E383" s="360" t="str">
        <f ca="1">IFERROR(__xludf.DUMMYFUNCTION("""COMPUTED_VALUE"""),"32.90 26/05/2025")</f>
        <v>32.90 26/05/2025</v>
      </c>
      <c r="F383" s="360" t="str">
        <f ca="1">IFERROR(__xludf.DUMMYFUNCTION("""COMPUTED_VALUE"""),"30/06/2025 13:00")</f>
        <v>30/06/2025 13:00</v>
      </c>
      <c r="G383" s="366">
        <f ca="1">IFERROR(__xludf.DUMMYFUNCTION("""COMPUTED_VALUE"""),45663.625)</f>
        <v>45663.625</v>
      </c>
      <c r="H383" s="366">
        <f ca="1">IFERROR(__xludf.DUMMYFUNCTION("""COMPUTED_VALUE"""),45663.5416666666)</f>
        <v>45663.541666666599</v>
      </c>
      <c r="I383" s="369">
        <f ca="1">IFERROR(__xludf.DUMMYFUNCTION("""COMPUTED_VALUE"""),45694.625)</f>
        <v>45694.625</v>
      </c>
      <c r="J383" s="369">
        <f ca="1">IFERROR(__xludf.DUMMYFUNCTION("""COMPUTED_VALUE"""),45722.6666666666)</f>
        <v>45722.666666666599</v>
      </c>
      <c r="K383" s="369">
        <f ca="1">IFERROR(__xludf.DUMMYFUNCTION("""COMPUTED_VALUE"""),45753.8125)</f>
        <v>45753.8125</v>
      </c>
      <c r="L383" s="366">
        <f ca="1">IFERROR(__xludf.DUMMYFUNCTION("""COMPUTED_VALUE"""),45722.9993055555)</f>
        <v>45722.999305555502</v>
      </c>
      <c r="M383" s="360" t="str">
        <f ca="1">IFERROR(__xludf.DUMMYFUNCTION("""COMPUTED_VALUE"""),"04/06/2025 NOON")</f>
        <v>04/06/2025 NOON</v>
      </c>
    </row>
    <row r="384" spans="1:13" ht="18.75">
      <c r="A384" s="360"/>
      <c r="B384" s="360"/>
      <c r="C384" s="361" t="str">
        <f ca="1">IFERROR(__xludf.DUMMYFUNCTION("""COMPUTED_VALUE"""),"THLCB")</f>
        <v>THLCB</v>
      </c>
      <c r="D384" s="366">
        <f ca="1">IFERROR(__xludf.DUMMYFUNCTION("""COMPUTED_VALUE"""),45783.375)</f>
        <v>45783.375</v>
      </c>
      <c r="E384" s="360"/>
      <c r="F384" s="366">
        <f ca="1">IFERROR(__xludf.DUMMYFUNCTION("""COMPUTED_VALUE"""),45694.5416666666)</f>
        <v>45694.541666666599</v>
      </c>
      <c r="G384" s="366">
        <f ca="1">IFERROR(__xludf.DUMMYFUNCTION("""COMPUTED_VALUE"""),45694.625)</f>
        <v>45694.625</v>
      </c>
      <c r="H384" s="366">
        <f ca="1">IFERROR(__xludf.DUMMYFUNCTION("""COMPUTED_VALUE"""),45694.5416666666)</f>
        <v>45694.541666666599</v>
      </c>
      <c r="I384" s="369">
        <f ca="1">IFERROR(__xludf.DUMMYFUNCTION("""COMPUTED_VALUE"""),45694.625)</f>
        <v>45694.625</v>
      </c>
      <c r="J384" s="369">
        <f ca="1">IFERROR(__xludf.DUMMYFUNCTION("""COMPUTED_VALUE"""),45753.6666666666)</f>
        <v>45753.666666666599</v>
      </c>
      <c r="K384" s="369">
        <f ca="1">IFERROR(__xludf.DUMMYFUNCTION("""COMPUTED_VALUE"""),45783.3333333333)</f>
        <v>45783.333333333299</v>
      </c>
      <c r="L384" s="366">
        <f ca="1">IFERROR(__xludf.DUMMYFUNCTION("""COMPUTED_VALUE"""),45783.4375)</f>
        <v>45783.4375</v>
      </c>
      <c r="M384" s="360" t="str">
        <f ca="1">IFERROR(__xludf.DUMMYFUNCTION("""COMPUTED_VALUE"""),"05/06/2025 NOON")</f>
        <v>05/06/2025 NOON</v>
      </c>
    </row>
    <row r="385" spans="1:13" ht="18.75">
      <c r="A385" s="360" t="str">
        <f ca="1">IFERROR(__xludf.DUMMYFUNCTION("""COMPUTED_VALUE"""),"CVT")</f>
        <v>CVT</v>
      </c>
      <c r="B385" s="360" t="str">
        <f ca="1">IFERROR(__xludf.DUMMYFUNCTION("""COMPUTED_VALUE"""),"KMTC POHANG V.2506N")</f>
        <v>KMTC POHANG V.2506N</v>
      </c>
      <c r="C385" s="361" t="str">
        <f ca="1">IFERROR(__xludf.DUMMYFUNCTION("""COMPUTED_VALUE"""),"THBKK")</f>
        <v>THBKK</v>
      </c>
      <c r="D385" s="366">
        <f ca="1">IFERROR(__xludf.DUMMYFUNCTION("""COMPUTED_VALUE"""),45783.3333333333)</f>
        <v>45783.333333333299</v>
      </c>
      <c r="E385" s="360" t="str">
        <f ca="1">IFERROR(__xludf.DUMMYFUNCTION("""COMPUTED_VALUE"""),"33.05 30/05/2025")</f>
        <v>33.05 30/05/2025</v>
      </c>
      <c r="F385" s="366">
        <f ca="1">IFERROR(__xludf.DUMMYFUNCTION("""COMPUTED_VALUE"""),45694.5416666666)</f>
        <v>45694.541666666599</v>
      </c>
      <c r="G385" s="366">
        <f ca="1">IFERROR(__xludf.DUMMYFUNCTION("""COMPUTED_VALUE"""),45753.625)</f>
        <v>45753.625</v>
      </c>
      <c r="H385" s="366">
        <f ca="1">IFERROR(__xludf.DUMMYFUNCTION("""COMPUTED_VALUE"""),45753.5416666666)</f>
        <v>45753.541666666599</v>
      </c>
      <c r="I385" s="369">
        <f ca="1">IFERROR(__xludf.DUMMYFUNCTION("""COMPUTED_VALUE"""),45783.625)</f>
        <v>45783.625</v>
      </c>
      <c r="J385" s="369">
        <f ca="1">IFERROR(__xludf.DUMMYFUNCTION("""COMPUTED_VALUE"""),45814.6666666666)</f>
        <v>45814.666666666599</v>
      </c>
      <c r="K385" s="369">
        <f ca="1">IFERROR(__xludf.DUMMYFUNCTION("""COMPUTED_VALUE"""),45844.5833333333)</f>
        <v>45844.583333333299</v>
      </c>
      <c r="L385" s="366">
        <f ca="1">IFERROR(__xludf.DUMMYFUNCTION("""COMPUTED_VALUE"""),45844.625)</f>
        <v>45844.625</v>
      </c>
      <c r="M385" s="360" t="str">
        <f ca="1">IFERROR(__xludf.DUMMYFUNCTION("""COMPUTED_VALUE"""),"09/06/2025 MORNING")</f>
        <v>09/06/2025 MORNING</v>
      </c>
    </row>
    <row r="386" spans="1:13" ht="18.75">
      <c r="A386" s="360"/>
      <c r="B386" s="360"/>
      <c r="C386" s="361" t="str">
        <f ca="1">IFERROR(__xludf.DUMMYFUNCTION("""COMPUTED_VALUE"""),"THLCB")</f>
        <v>THLCB</v>
      </c>
      <c r="D386" s="366">
        <f ca="1">IFERROR(__xludf.DUMMYFUNCTION("""COMPUTED_VALUE"""),45814.1666666666)</f>
        <v>45814.166666666599</v>
      </c>
      <c r="E386" s="360"/>
      <c r="F386" s="366">
        <f ca="1">IFERROR(__xludf.DUMMYFUNCTION("""COMPUTED_VALUE"""),45753.5416666666)</f>
        <v>45753.541666666599</v>
      </c>
      <c r="G386" s="366">
        <f ca="1">IFERROR(__xludf.DUMMYFUNCTION("""COMPUTED_VALUE"""),45783.625)</f>
        <v>45783.625</v>
      </c>
      <c r="H386" s="366">
        <f ca="1">IFERROR(__xludf.DUMMYFUNCTION("""COMPUTED_VALUE"""),45783.5416666666)</f>
        <v>45783.541666666599</v>
      </c>
      <c r="I386" s="369">
        <f ca="1">IFERROR(__xludf.DUMMYFUNCTION("""COMPUTED_VALUE"""),45814.625)</f>
        <v>45814.625</v>
      </c>
      <c r="J386" s="369">
        <f ca="1">IFERROR(__xludf.DUMMYFUNCTION("""COMPUTED_VALUE"""),45844.6666666666)</f>
        <v>45844.666666666599</v>
      </c>
      <c r="K386" s="369">
        <f ca="1">IFERROR(__xludf.DUMMYFUNCTION("""COMPUTED_VALUE"""),45906.3333333333)</f>
        <v>45906.333333333299</v>
      </c>
      <c r="L386" s="373">
        <f ca="1">IFERROR(__xludf.DUMMYFUNCTION("""COMPUTED_VALUE"""),45906.0833333333)</f>
        <v>45906.083333333299</v>
      </c>
      <c r="M386" s="360" t="str">
        <f ca="1">IFERROR(__xludf.DUMMYFUNCTION("""COMPUTED_VALUE"""),"09/06/20250 NOON")</f>
        <v>09/06/20250 NOON</v>
      </c>
    </row>
    <row r="387" spans="1:13" ht="18.75">
      <c r="A387" s="360"/>
      <c r="B387" s="360"/>
      <c r="C387" s="361"/>
      <c r="D387" s="360"/>
      <c r="E387" s="360"/>
      <c r="F387" s="360"/>
      <c r="G387" s="360"/>
      <c r="H387" s="360"/>
      <c r="I387" s="362"/>
      <c r="J387" s="362"/>
      <c r="K387" s="362"/>
      <c r="L387" s="360"/>
      <c r="M387" s="360"/>
    </row>
    <row r="388" spans="1:13" ht="18.75">
      <c r="A388" s="360"/>
      <c r="B388" s="360" t="str">
        <f ca="1">IFERROR(__xludf.DUMMYFUNCTION("""COMPUTED_VALUE"""),"WEEK 22/2025")</f>
        <v>WEEK 22/2025</v>
      </c>
      <c r="C388" s="361"/>
      <c r="D388" s="360"/>
      <c r="E388" s="360"/>
      <c r="F388" s="360"/>
      <c r="G388" s="360"/>
      <c r="H388" s="360"/>
      <c r="I388" s="362"/>
      <c r="J388" s="362"/>
      <c r="K388" s="362"/>
      <c r="L388" s="360"/>
      <c r="M388" s="360"/>
    </row>
    <row r="389" spans="1:13" ht="18.75">
      <c r="A389" s="360"/>
      <c r="B389" s="360"/>
      <c r="C389" s="361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389" s="360"/>
      <c r="E389" s="360"/>
      <c r="F389" s="360"/>
      <c r="G389" s="360"/>
      <c r="H389" s="360"/>
      <c r="I389" s="362"/>
      <c r="J389" s="362"/>
      <c r="K389" s="362"/>
      <c r="L389" s="360"/>
      <c r="M389" s="360"/>
    </row>
    <row r="390" spans="1:13" ht="18.75">
      <c r="A390" s="360" t="str">
        <f ca="1">IFERROR(__xludf.DUMMYFUNCTION("""COMPUTED_VALUE"""),"SERVICE")</f>
        <v>SERVICE</v>
      </c>
      <c r="B390" s="360" t="str">
        <f ca="1">IFERROR(__xludf.DUMMYFUNCTION("""COMPUTED_VALUE"""),"VESSEL NAME")</f>
        <v>VESSEL NAME</v>
      </c>
      <c r="C390" s="361" t="str">
        <f ca="1">IFERROR(__xludf.DUMMYFUNCTION("""COMPUTED_VALUE"""),"PORT")</f>
        <v>PORT</v>
      </c>
      <c r="D390" s="360" t="str">
        <f ca="1">IFERROR(__xludf.DUMMYFUNCTION("""COMPUTED_VALUE"""),"PERFOMA ETD")</f>
        <v>PERFOMA ETD</v>
      </c>
      <c r="E390" s="360" t="str">
        <f ca="1">IFERROR(__xludf.DUMMYFUNCTION("""COMPUTED_VALUE"""),"EX.RATE/DATE/")</f>
        <v>EX.RATE/DATE/</v>
      </c>
      <c r="F390" s="360" t="str">
        <f ca="1">IFERROR(__xludf.DUMMYFUNCTION("""COMPUTED_VALUE"""),"SI CUT OFF USA")</f>
        <v>SI CUT OFF USA</v>
      </c>
      <c r="G390" s="360" t="str">
        <f ca="1">IFERROR(__xludf.DUMMYFUNCTION("""COMPUTED_VALUE"""),"SI CUT OFF")</f>
        <v>SI CUT OFF</v>
      </c>
      <c r="H390" s="360" t="str">
        <f ca="1">IFERROR(__xludf.DUMMYFUNCTION("""COMPUTED_VALUE"""),"B/L CFM USA")</f>
        <v>B/L CFM USA</v>
      </c>
      <c r="I390" s="362" t="str">
        <f ca="1">IFERROR(__xludf.DUMMYFUNCTION("""COMPUTED_VALUE"""),"B/L CFM CHINA,JP,VN")</f>
        <v>B/L CFM CHINA,JP,VN</v>
      </c>
      <c r="J390" s="362" t="str">
        <f ca="1">IFERROR(__xludf.DUMMYFUNCTION("""COMPUTED_VALUE"""),"B/L CONFIRM")</f>
        <v>B/L CONFIRM</v>
      </c>
      <c r="K390" s="362" t="str">
        <f ca="1">IFERROR(__xludf.DUMMYFUNCTION("""COMPUTED_VALUE"""),"ETD")</f>
        <v>ETD</v>
      </c>
      <c r="L390" s="360" t="str">
        <f ca="1">IFERROR(__xludf.DUMMYFUNCTION("""COMPUTED_VALUE"""),"ATD")</f>
        <v>ATD</v>
      </c>
      <c r="M390" s="360" t="str">
        <f ca="1">IFERROR(__xludf.DUMMYFUNCTION("""COMPUTED_VALUE"""),"B/L ISSUED DATE")</f>
        <v>B/L ISSUED DATE</v>
      </c>
    </row>
    <row r="391" spans="1:13" ht="18.75">
      <c r="A391" s="360"/>
      <c r="B391" s="360"/>
      <c r="C391" s="361"/>
      <c r="D391" s="360"/>
      <c r="E391" s="360" t="str">
        <f ca="1">IFERROR(__xludf.DUMMYFUNCTION("""COMPUTED_VALUE"""),"BANGKOK BANK")</f>
        <v>BANGKOK BANK</v>
      </c>
      <c r="F391" s="360" t="str">
        <f ca="1">IFERROR(__xludf.DUMMYFUNCTION("""COMPUTED_VALUE"""),"4 days before ETD")</f>
        <v>4 days before ETD</v>
      </c>
      <c r="G391" s="360"/>
      <c r="H391" s="360" t="str">
        <f ca="1">IFERROR(__xludf.DUMMYFUNCTION("""COMPUTED_VALUE"""),"3 days before ETD")</f>
        <v>3 days before ETD</v>
      </c>
      <c r="I391" s="362" t="str">
        <f ca="1">IFERROR(__xludf.DUMMYFUNCTION("""COMPUTED_VALUE"""),"Direct port CUT OFF")</f>
        <v>Direct port CUT OFF</v>
      </c>
      <c r="J391" s="362" t="str">
        <f ca="1">IFERROR(__xludf.DUMMYFUNCTION("""COMPUTED_VALUE"""),"Orther port CUT OFF")</f>
        <v>Orther port CUT OFF</v>
      </c>
      <c r="K391" s="362" t="str">
        <f ca="1">IFERROR(__xludf.DUMMYFUNCTION("""COMPUTED_VALUE"""),"ON BOARD DATE")</f>
        <v>ON BOARD DATE</v>
      </c>
      <c r="L391" s="360" t="str">
        <f ca="1">IFERROR(__xludf.DUMMYFUNCTION("""COMPUTED_VALUE"""),"วันเรือออกจริง")</f>
        <v>วันเรือออกจริง</v>
      </c>
      <c r="M391" s="360" t="str">
        <f ca="1">IFERROR(__xludf.DUMMYFUNCTION("""COMPUTED_VALUE"""),"วันปล่อยบีแอล")</f>
        <v>วันปล่อยบีแอล</v>
      </c>
    </row>
    <row r="392" spans="1:13" ht="18.75">
      <c r="A392" s="360"/>
      <c r="B392" s="360"/>
      <c r="C392" s="361"/>
      <c r="D392" s="360"/>
      <c r="E392" s="360"/>
      <c r="F392" s="360"/>
      <c r="G392" s="360" t="str">
        <f ca="1">IFERROR(__xludf.DUMMYFUNCTION("""COMPUTED_VALUE"""),"3 days before ETD")</f>
        <v>3 days before ETD</v>
      </c>
      <c r="H392" s="360"/>
      <c r="I392" s="362" t="str">
        <f ca="1">IFERROR(__xludf.DUMMYFUNCTION("""COMPUTED_VALUE"""),"2 days before ETD")</f>
        <v>2 days before ETD</v>
      </c>
      <c r="J392" s="362" t="str">
        <f ca="1">IFERROR(__xludf.DUMMYFUNCTION("""COMPUTED_VALUE"""),"1 days before ETD")</f>
        <v>1 days before ETD</v>
      </c>
      <c r="K392" s="362" t="str">
        <f ca="1">IFERROR(__xludf.DUMMYFUNCTION("""COMPUTED_VALUE"""),"SHOW ON B/L")</f>
        <v>SHOW ON B/L</v>
      </c>
      <c r="L392" s="360"/>
      <c r="M392" s="360"/>
    </row>
    <row r="393" spans="1:13" ht="18.75">
      <c r="A393" s="360" t="str">
        <f ca="1">IFERROR(__xludf.DUMMYFUNCTION("""COMPUTED_VALUE"""),"JHTS")</f>
        <v>JHTS</v>
      </c>
      <c r="B393" s="360" t="str">
        <f ca="1">IFERROR(__xludf.DUMMYFUNCTION("""COMPUTED_VALUE"""),"TS XIAMEN V.25008N")</f>
        <v>TS XIAMEN V.25008N</v>
      </c>
      <c r="C393" s="361" t="str">
        <f ca="1">IFERROR(__xludf.DUMMYFUNCTION("""COMPUTED_VALUE"""),"THBKK")</f>
        <v>THBKK</v>
      </c>
      <c r="D393" s="360" t="str">
        <f ca="1">IFERROR(__xludf.DUMMYFUNCTION("""COMPUTED_VALUE"""),"25/05/2025 06:00")</f>
        <v>25/05/2025 06:00</v>
      </c>
      <c r="E393" s="360" t="str">
        <f ca="1">IFERROR(__xludf.DUMMYFUNCTION("""COMPUTED_VALUE"""),"33.49 16/05/2025")</f>
        <v>33.49 16/05/2025</v>
      </c>
      <c r="F393" s="360" t="str">
        <f ca="1">IFERROR(__xludf.DUMMYFUNCTION("""COMPUTED_VALUE"""),"23/05/2025 13:00")</f>
        <v>23/05/2025 13:00</v>
      </c>
      <c r="G393" s="360" t="str">
        <f ca="1">IFERROR(__xludf.DUMMYFUNCTION("""COMPUTED_VALUE"""),"23/05/2025 15:00")</f>
        <v>23/05/2025 15:00</v>
      </c>
      <c r="H393" s="360" t="str">
        <f ca="1">IFERROR(__xludf.DUMMYFUNCTION("""COMPUTED_VALUE"""),"23/05/2025 13:00")</f>
        <v>23/05/2025 13:00</v>
      </c>
      <c r="I393" s="362" t="str">
        <f ca="1">IFERROR(__xludf.DUMMYFUNCTION("""COMPUTED_VALUE"""),"23/05/2025 15:00")</f>
        <v>23/05/2025 15:00</v>
      </c>
      <c r="J393" s="362" t="str">
        <f ca="1">IFERROR(__xludf.DUMMYFUNCTION("""COMPUTED_VALUE"""),"26/05/2025 16:00")</f>
        <v>26/05/2025 16:00</v>
      </c>
      <c r="K393" s="370" t="str">
        <f ca="1">IFERROR(__xludf.DUMMYFUNCTION("""COMPUTED_VALUE"""),"28/05/2025 02:00")</f>
        <v>28/05/2025 02:00</v>
      </c>
      <c r="L393" s="373" t="str">
        <f ca="1">IFERROR(__xludf.DUMMYFUNCTION("""COMPUTED_VALUE"""),"28/05/2025 01:00")</f>
        <v>28/05/2025 01:00</v>
      </c>
      <c r="M393" s="360" t="str">
        <f ca="1">IFERROR(__xludf.DUMMYFUNCTION("""COMPUTED_VALUE"""),"28/05/2025 NOON")</f>
        <v>28/05/2025 NOON</v>
      </c>
    </row>
    <row r="394" spans="1:13" ht="18.75">
      <c r="A394" s="360"/>
      <c r="B394" s="360"/>
      <c r="C394" s="361" t="str">
        <f ca="1">IFERROR(__xludf.DUMMYFUNCTION("""COMPUTED_VALUE"""),"THLCB")</f>
        <v>THLCB</v>
      </c>
      <c r="D394" s="360" t="str">
        <f ca="1">IFERROR(__xludf.DUMMYFUNCTION("""COMPUTED_VALUE"""),"26/05/2025 06:00")</f>
        <v>26/05/2025 06:00</v>
      </c>
      <c r="E394" s="360"/>
      <c r="F394" s="360" t="str">
        <f ca="1">IFERROR(__xludf.DUMMYFUNCTION("""COMPUTED_VALUE"""),"23/05/2025 13:00")</f>
        <v>23/05/2025 13:00</v>
      </c>
      <c r="G394" s="360" t="str">
        <f ca="1">IFERROR(__xludf.DUMMYFUNCTION("""COMPUTED_VALUE"""),"23/05/2025 15:00")</f>
        <v>23/05/2025 15:00</v>
      </c>
      <c r="H394" s="360" t="str">
        <f ca="1">IFERROR(__xludf.DUMMYFUNCTION("""COMPUTED_VALUE"""),"23/05/2025 13:00")</f>
        <v>23/05/2025 13:00</v>
      </c>
      <c r="I394" s="362" t="str">
        <f ca="1">IFERROR(__xludf.DUMMYFUNCTION("""COMPUTED_VALUE"""),"27/05/2025 15:00")</f>
        <v>27/05/2025 15:00</v>
      </c>
      <c r="J394" s="362" t="str">
        <f ca="1">IFERROR(__xludf.DUMMYFUNCTION("""COMPUTED_VALUE"""),"27/05/2025 16:00")</f>
        <v>27/05/2025 16:00</v>
      </c>
      <c r="K394" s="370" t="str">
        <f ca="1">IFERROR(__xludf.DUMMYFUNCTION("""COMPUTED_VALUE"""),"29/05/2025 02:00")</f>
        <v>29/05/2025 02:00</v>
      </c>
      <c r="L394" s="373" t="str">
        <f ca="1">IFERROR(__xludf.DUMMYFUNCTION("""COMPUTED_VALUE"""),"29/05/2025  05:09")</f>
        <v>29/05/2025  05:09</v>
      </c>
      <c r="M394" s="360" t="str">
        <f ca="1">IFERROR(__xludf.DUMMYFUNCTION("""COMPUTED_VALUE"""),"29/05/2025 NOON")</f>
        <v>29/05/2025 NOON</v>
      </c>
    </row>
    <row r="395" spans="1:13" ht="18.75">
      <c r="A395" s="360" t="str">
        <f ca="1">IFERROR(__xludf.DUMMYFUNCTION("""COMPUTED_VALUE"""),"TRX")</f>
        <v>TRX</v>
      </c>
      <c r="B395" s="360" t="str">
        <f ca="1">IFERROR(__xludf.DUMMYFUNCTION("""COMPUTED_VALUE"""),"LITTLE WARRIOR V.018N")</f>
        <v>LITTLE WARRIOR V.018N</v>
      </c>
      <c r="C395" s="361" t="str">
        <f ca="1">IFERROR(__xludf.DUMMYFUNCTION("""COMPUTED_VALUE"""),"THBKK")</f>
        <v>THBKK</v>
      </c>
      <c r="D395" s="360" t="str">
        <f ca="1">IFERROR(__xludf.DUMMYFUNCTION("""COMPUTED_VALUE"""),"27/05/2025 19:30")</f>
        <v>27/05/2025 19:30</v>
      </c>
      <c r="E395" s="360" t="str">
        <f ca="1">IFERROR(__xludf.DUMMYFUNCTION("""COMPUTED_VALUE"""),"33.34 20/05/2025")</f>
        <v>33.34 20/05/2025</v>
      </c>
      <c r="F395" s="360" t="str">
        <f ca="1">IFERROR(__xludf.DUMMYFUNCTION("""COMPUTED_VALUE"""),"23/05/2025 13:00")</f>
        <v>23/05/2025 13:00</v>
      </c>
      <c r="G395" s="360" t="str">
        <f ca="1">IFERROR(__xludf.DUMMYFUNCTION("""COMPUTED_VALUE"""),"23/05/2025 15:00")</f>
        <v>23/05/2025 15:00</v>
      </c>
      <c r="H395" s="360" t="str">
        <f ca="1">IFERROR(__xludf.DUMMYFUNCTION("""COMPUTED_VALUE"""),"23/05/2025 13:00")</f>
        <v>23/05/2025 13:00</v>
      </c>
      <c r="I395" s="362" t="str">
        <f ca="1">IFERROR(__xludf.DUMMYFUNCTION("""COMPUTED_VALUE"""),"27/05/2025 15:00")</f>
        <v>27/05/2025 15:00</v>
      </c>
      <c r="J395" s="362" t="str">
        <f ca="1">IFERROR(__xludf.DUMMYFUNCTION("""COMPUTED_VALUE"""),"27/05/2025 16:00")</f>
        <v>27/05/2025 16:00</v>
      </c>
      <c r="K395" s="370" t="str">
        <f ca="1">IFERROR(__xludf.DUMMYFUNCTION("""COMPUTED_VALUE"""),"28/05/2025 15:20")</f>
        <v>28/05/2025 15:20</v>
      </c>
      <c r="L395" s="373" t="str">
        <f ca="1">IFERROR(__xludf.DUMMYFUNCTION("""COMPUTED_VALUE"""),"28/05/2025 14:00")</f>
        <v>28/05/2025 14:00</v>
      </c>
      <c r="M395" s="360" t="str">
        <f ca="1">IFERROR(__xludf.DUMMYFUNCTION("""COMPUTED_VALUE"""),"29/05/2025 MORNING")</f>
        <v>29/05/2025 MORNING</v>
      </c>
    </row>
    <row r="396" spans="1:13" ht="18.75">
      <c r="A396" s="360"/>
      <c r="B396" s="360"/>
      <c r="C396" s="361" t="str">
        <f ca="1">IFERROR(__xludf.DUMMYFUNCTION("""COMPUTED_VALUE"""),"THLCB")</f>
        <v>THLCB</v>
      </c>
      <c r="D396" s="360" t="str">
        <f ca="1">IFERROR(__xludf.DUMMYFUNCTION("""COMPUTED_VALUE"""),"29/05/2025 09:00")</f>
        <v>29/05/2025 09:00</v>
      </c>
      <c r="E396" s="360"/>
      <c r="F396" s="360" t="str">
        <f ca="1">IFERROR(__xludf.DUMMYFUNCTION("""COMPUTED_VALUE"""),"23/05/2025 13:00")</f>
        <v>23/05/2025 13:00</v>
      </c>
      <c r="G396" s="360" t="str">
        <f ca="1">IFERROR(__xludf.DUMMYFUNCTION("""COMPUTED_VALUE"""),"23/05/2025 15:00")</f>
        <v>23/05/2025 15:00</v>
      </c>
      <c r="H396" s="360" t="str">
        <f ca="1">IFERROR(__xludf.DUMMYFUNCTION("""COMPUTED_VALUE"""),"23/05/2025 13:00")</f>
        <v>23/05/2025 13:00</v>
      </c>
      <c r="I396" s="362" t="str">
        <f ca="1">IFERROR(__xludf.DUMMYFUNCTION("""COMPUTED_VALUE"""),"27/05/2025 15:00")</f>
        <v>27/05/2025 15:00</v>
      </c>
      <c r="J396" s="362" t="str">
        <f ca="1">IFERROR(__xludf.DUMMYFUNCTION("""COMPUTED_VALUE"""),"27/05/2025 16:00")</f>
        <v>27/05/2025 16:00</v>
      </c>
      <c r="K396" s="370" t="str">
        <f ca="1">IFERROR(__xludf.DUMMYFUNCTION("""COMPUTED_VALUE"""),"29/05/2025 16:00")</f>
        <v>29/05/2025 16:00</v>
      </c>
      <c r="L396" s="373" t="str">
        <f ca="1">IFERROR(__xludf.DUMMYFUNCTION("""COMPUTED_VALUE"""),"29/05/2025  18:48")</f>
        <v>29/05/2025  18:48</v>
      </c>
      <c r="M396" s="360" t="str">
        <f ca="1">IFERROR(__xludf.DUMMYFUNCTION("""COMPUTED_VALUE"""),"30/05/2025 MORNING")</f>
        <v>30/05/2025 MORNING</v>
      </c>
    </row>
    <row r="397" spans="1:13" ht="18.75">
      <c r="A397" s="360" t="str">
        <f ca="1">IFERROR(__xludf.DUMMYFUNCTION("""COMPUTED_VALUE"""),"CHT")</f>
        <v>CHT</v>
      </c>
      <c r="B397" s="360" t="str">
        <f ca="1">IFERROR(__xludf.DUMMYFUNCTION("""COMPUTED_VALUE"""),"KMTC TAIPEIS V.2506N")</f>
        <v>KMTC TAIPEIS V.2506N</v>
      </c>
      <c r="C397" s="361" t="str">
        <f ca="1">IFERROR(__xludf.DUMMYFUNCTION("""COMPUTED_VALUE"""),"THBKK")</f>
        <v>THBKK</v>
      </c>
      <c r="D397" s="360" t="str">
        <f ca="1">IFERROR(__xludf.DUMMYFUNCTION("""COMPUTED_VALUE"""),"14/05/2025 08:00")</f>
        <v>14/05/2025 08:00</v>
      </c>
      <c r="E397" s="360" t="str">
        <f ca="1">IFERROR(__xludf.DUMMYFUNCTION("""COMPUTED_VALUE"""),"33.30 19/05/2025")</f>
        <v>33.30 19/05/2025</v>
      </c>
      <c r="F397" s="360" t="str">
        <f ca="1">IFERROR(__xludf.DUMMYFUNCTION("""COMPUTED_VALUE"""),"23/05/2025 13:00")</f>
        <v>23/05/2025 13:00</v>
      </c>
      <c r="G397" s="360" t="str">
        <f ca="1">IFERROR(__xludf.DUMMYFUNCTION("""COMPUTED_VALUE"""),"23/05/2025 15:00")</f>
        <v>23/05/2025 15:00</v>
      </c>
      <c r="H397" s="360" t="str">
        <f ca="1">IFERROR(__xludf.DUMMYFUNCTION("""COMPUTED_VALUE"""),"23/05/2025 13:00")</f>
        <v>23/05/2025 13:00</v>
      </c>
      <c r="I397" s="362" t="str">
        <f ca="1">IFERROR(__xludf.DUMMYFUNCTION("""COMPUTED_VALUE"""),"27/05/2025 15:00")</f>
        <v>27/05/2025 15:00</v>
      </c>
      <c r="J397" s="362" t="str">
        <f ca="1">IFERROR(__xludf.DUMMYFUNCTION("""COMPUTED_VALUE"""),"27/05/2025 16:00")</f>
        <v>27/05/2025 16:00</v>
      </c>
      <c r="K397" s="370" t="str">
        <f ca="1">IFERROR(__xludf.DUMMYFUNCTION("""COMPUTED_VALUE"""),"28/05/2025 16:00")</f>
        <v>28/05/2025 16:00</v>
      </c>
      <c r="L397" s="373" t="str">
        <f ca="1">IFERROR(__xludf.DUMMYFUNCTION("""COMPUTED_VALUE"""),"29/05/2025  16:00")</f>
        <v>29/05/2025  16:00</v>
      </c>
      <c r="M397" s="360" t="str">
        <f ca="1">IFERROR(__xludf.DUMMYFUNCTION("""COMPUTED_VALUE"""),"30/05/2025 MORNING")</f>
        <v>30/05/2025 MORNING</v>
      </c>
    </row>
    <row r="398" spans="1:13" ht="18.75">
      <c r="A398" s="360"/>
      <c r="B398" s="360"/>
      <c r="C398" s="361" t="str">
        <f ca="1">IFERROR(__xludf.DUMMYFUNCTION("""COMPUTED_VALUE"""),"THLCB")</f>
        <v>THLCB</v>
      </c>
      <c r="D398" s="360" t="str">
        <f ca="1">IFERROR(__xludf.DUMMYFUNCTION("""COMPUTED_VALUE"""),"15/05/2025 04:00")</f>
        <v>15/05/2025 04:00</v>
      </c>
      <c r="E398" s="360"/>
      <c r="F398" s="360" t="str">
        <f ca="1">IFERROR(__xludf.DUMMYFUNCTION("""COMPUTED_VALUE"""),"26/05/2025 13:00")</f>
        <v>26/05/2025 13:00</v>
      </c>
      <c r="G398" s="360" t="str">
        <f ca="1">IFERROR(__xludf.DUMMYFUNCTION("""COMPUTED_VALUE"""),"27/05/2025 15:00")</f>
        <v>27/05/2025 15:00</v>
      </c>
      <c r="H398" s="360" t="str">
        <f ca="1">IFERROR(__xludf.DUMMYFUNCTION("""COMPUTED_VALUE"""),"27/05/2025 13:00")</f>
        <v>27/05/2025 13:00</v>
      </c>
      <c r="I398" s="362" t="str">
        <f ca="1">IFERROR(__xludf.DUMMYFUNCTION("""COMPUTED_VALUE"""),"28/05/2025 15:00")</f>
        <v>28/05/2025 15:00</v>
      </c>
      <c r="J398" s="362" t="str">
        <f ca="1">IFERROR(__xludf.DUMMYFUNCTION("""COMPUTED_VALUE"""),"29/05/2025 16:00")</f>
        <v>29/05/2025 16:00</v>
      </c>
      <c r="K398" s="370" t="str">
        <f ca="1">IFERROR(__xludf.DUMMYFUNCTION("""COMPUTED_VALUE"""),"30/05/2025 18:00")</f>
        <v>30/05/2025 18:00</v>
      </c>
      <c r="L398" s="360" t="str">
        <f ca="1">IFERROR(__xludf.DUMMYFUNCTION("""COMPUTED_VALUE"""),"30/05/2025  20:00")</f>
        <v>30/05/2025  20:00</v>
      </c>
      <c r="M398" s="360" t="str">
        <f ca="1">IFERROR(__xludf.DUMMYFUNCTION("""COMPUTED_VALUE"""),"02/06/2025 MORNING")</f>
        <v>02/06/2025 MORNING</v>
      </c>
    </row>
    <row r="399" spans="1:13" ht="18.75">
      <c r="A399" s="360" t="str">
        <f ca="1">IFERROR(__xludf.DUMMYFUNCTION("""COMPUTED_VALUE"""),"CVT")</f>
        <v>CVT</v>
      </c>
      <c r="B399" s="360" t="str">
        <f ca="1">IFERROR(__xludf.DUMMYFUNCTION("""COMPUTED_VALUE"""),"AVIOS V.2508N")</f>
        <v>AVIOS V.2508N</v>
      </c>
      <c r="C399" s="361" t="str">
        <f ca="1">IFERROR(__xludf.DUMMYFUNCTION("""COMPUTED_VALUE"""),"THBKK")</f>
        <v>THBKK</v>
      </c>
      <c r="D399" s="360" t="str">
        <f ca="1">IFERROR(__xludf.DUMMYFUNCTION("""COMPUTED_VALUE"""),"28/05/2025 08:00")</f>
        <v>28/05/2025 08:00</v>
      </c>
      <c r="E399" s="360" t="str">
        <f ca="1">IFERROR(__xludf.DUMMYFUNCTION("""COMPUTED_VALUE"""),"33.06 22/05/2025")</f>
        <v>33.06 22/05/2025</v>
      </c>
      <c r="F399" s="360" t="str">
        <f ca="1">IFERROR(__xludf.DUMMYFUNCTION("""COMPUTED_VALUE"""),"27/05/2025 13;00")</f>
        <v>27/05/2025 13;00</v>
      </c>
      <c r="G399" s="360" t="str">
        <f ca="1">IFERROR(__xludf.DUMMYFUNCTION("""COMPUTED_VALUE"""),"28/05/2025 15:00")</f>
        <v>28/05/2025 15:00</v>
      </c>
      <c r="H399" s="360" t="str">
        <f ca="1">IFERROR(__xludf.DUMMYFUNCTION("""COMPUTED_VALUE"""),"28/05/2025 13:00")</f>
        <v>28/05/2025 13:00</v>
      </c>
      <c r="I399" s="362" t="str">
        <f ca="1">IFERROR(__xludf.DUMMYFUNCTION("""COMPUTED_VALUE"""),"29/05/2025 15:00")</f>
        <v>29/05/2025 15:00</v>
      </c>
      <c r="J399" s="362" t="str">
        <f ca="1">IFERROR(__xludf.DUMMYFUNCTION("""COMPUTED_VALUE"""),"30/05/2025 16:00")</f>
        <v>30/05/2025 16:00</v>
      </c>
      <c r="K399" s="370">
        <f ca="1">IFERROR(__xludf.DUMMYFUNCTION("""COMPUTED_VALUE"""),45663.8333333333)</f>
        <v>45663.833333333299</v>
      </c>
      <c r="L399" s="373">
        <f ca="1">IFERROR(__xludf.DUMMYFUNCTION("""COMPUTED_VALUE"""),45663.125)</f>
        <v>45663.125</v>
      </c>
      <c r="M399" s="360" t="str">
        <f ca="1">IFERROR(__xludf.DUMMYFUNCTION("""COMPUTED_VALUE"""),"02/06/2025 MORNING")</f>
        <v>02/06/2025 MORNING</v>
      </c>
    </row>
    <row r="400" spans="1:13" ht="18.75">
      <c r="A400" s="360"/>
      <c r="B400" s="360"/>
      <c r="C400" s="361" t="str">
        <f ca="1">IFERROR(__xludf.DUMMYFUNCTION("""COMPUTED_VALUE"""),"THLCB")</f>
        <v>THLCB</v>
      </c>
      <c r="D400" s="360" t="str">
        <f ca="1">IFERROR(__xludf.DUMMYFUNCTION("""COMPUTED_VALUE"""),"29/05/2025 04:00")</f>
        <v>29/05/2025 04:00</v>
      </c>
      <c r="E400" s="360"/>
      <c r="F400" s="360" t="str">
        <f ca="1">IFERROR(__xludf.DUMMYFUNCTION("""COMPUTED_VALUE"""),"30/05/2025 13:00")</f>
        <v>30/05/2025 13:00</v>
      </c>
      <c r="G400" s="360" t="str">
        <f ca="1">IFERROR(__xludf.DUMMYFUNCTION("""COMPUTED_VALUE"""),"30/05/2025 15:00")</f>
        <v>30/05/2025 15:00</v>
      </c>
      <c r="H400" s="360" t="str">
        <f ca="1">IFERROR(__xludf.DUMMYFUNCTION("""COMPUTED_VALUE"""),"30/05/2025 13:00")</f>
        <v>30/05/2025 13:00</v>
      </c>
      <c r="I400" s="362" t="str">
        <f ca="1">IFERROR(__xludf.DUMMYFUNCTION("""COMPUTED_VALUE"""),"30/05/2025 15:00")</f>
        <v>30/05/2025 15:00</v>
      </c>
      <c r="J400" s="369">
        <f ca="1">IFERROR(__xludf.DUMMYFUNCTION("""COMPUTED_VALUE"""),45663.6666666666)</f>
        <v>45663.666666666599</v>
      </c>
      <c r="K400" s="370">
        <f ca="1">IFERROR(__xludf.DUMMYFUNCTION("""COMPUTED_VALUE"""),45694.9166666666)</f>
        <v>45694.916666666599</v>
      </c>
      <c r="L400" s="373">
        <f ca="1">IFERROR(__xludf.DUMMYFUNCTION("""COMPUTED_VALUE"""),45694.9958333333)</f>
        <v>45694.995833333298</v>
      </c>
      <c r="M400" s="360" t="str">
        <f ca="1">IFERROR(__xludf.DUMMYFUNCTION("""COMPUTED_VALUE"""),"04/06/2025 MORNING")</f>
        <v>04/06/2025 MORNING</v>
      </c>
    </row>
    <row r="401" spans="1:13" ht="18.75">
      <c r="A401" s="360" t="str">
        <f ca="1">IFERROR(__xludf.DUMMYFUNCTION("""COMPUTED_VALUE"""),"NSP")</f>
        <v>NSP</v>
      </c>
      <c r="B401" s="360" t="str">
        <f ca="1">IFERROR(__xludf.DUMMYFUNCTION("""COMPUTED_VALUE"""),"TS MAWEI V.25012N")</f>
        <v>TS MAWEI V.25012N</v>
      </c>
      <c r="C401" s="361" t="str">
        <f ca="1">IFERROR(__xludf.DUMMYFUNCTION("""COMPUTED_VALUE"""),"THLCB")</f>
        <v>THLCB</v>
      </c>
      <c r="D401" s="360" t="str">
        <f ca="1">IFERROR(__xludf.DUMMYFUNCTION("""COMPUTED_VALUE"""),"30/05/2025 06:00")</f>
        <v>30/05/2025 06:00</v>
      </c>
      <c r="E401" s="360" t="str">
        <f ca="1">IFERROR(__xludf.DUMMYFUNCTION("""COMPUTED_VALUE"""),"32.82 23/05/2025")</f>
        <v>32.82 23/05/2025</v>
      </c>
      <c r="F401" s="360" t="str">
        <f ca="1">IFERROR(__xludf.DUMMYFUNCTION("""COMPUTED_VALUE"""),"27/05/2025 13;00")</f>
        <v>27/05/2025 13;00</v>
      </c>
      <c r="G401" s="360" t="str">
        <f ca="1">IFERROR(__xludf.DUMMYFUNCTION("""COMPUTED_VALUE"""),"28/05/2025 15:00")</f>
        <v>28/05/2025 15:00</v>
      </c>
      <c r="H401" s="360" t="str">
        <f ca="1">IFERROR(__xludf.DUMMYFUNCTION("""COMPUTED_VALUE"""),"28/05/2025 13:00")</f>
        <v>28/05/2025 13:00</v>
      </c>
      <c r="I401" s="362" t="str">
        <f ca="1">IFERROR(__xludf.DUMMYFUNCTION("""COMPUTED_VALUE"""),"29/05/2025 15:00")</f>
        <v>29/05/2025 15:00</v>
      </c>
      <c r="J401" s="362" t="str">
        <f ca="1">IFERROR(__xludf.DUMMYFUNCTION("""COMPUTED_VALUE"""),"30/05/2025 16:00")</f>
        <v>30/05/2025 16:00</v>
      </c>
      <c r="K401" s="370">
        <f ca="1">IFERROR(__xludf.DUMMYFUNCTION("""COMPUTED_VALUE"""),45694.0486111111)</f>
        <v>45694.048611111102</v>
      </c>
      <c r="L401" s="373">
        <f ca="1">IFERROR(__xludf.DUMMYFUNCTION("""COMPUTED_VALUE"""),45694.0486111111)</f>
        <v>45694.048611111102</v>
      </c>
      <c r="M401" s="360" t="str">
        <f ca="1">IFERROR(__xludf.DUMMYFUNCTION("""COMPUTED_VALUE"""),"02/06/2025 NOON")</f>
        <v>02/06/2025 NOON</v>
      </c>
    </row>
    <row r="402" spans="1:13" ht="18.75">
      <c r="A402" s="360"/>
      <c r="B402" s="360"/>
      <c r="C402" s="361"/>
      <c r="D402" s="360"/>
      <c r="E402" s="360"/>
      <c r="F402" s="360"/>
      <c r="G402" s="360"/>
      <c r="H402" s="360"/>
      <c r="I402" s="362"/>
      <c r="J402" s="362"/>
      <c r="K402" s="362"/>
      <c r="L402" s="360"/>
      <c r="M402" s="360"/>
    </row>
    <row r="403" spans="1:13" ht="18.75">
      <c r="A403" s="360"/>
      <c r="B403" s="360" t="str">
        <f ca="1">IFERROR(__xludf.DUMMYFUNCTION("""COMPUTED_VALUE"""),"WEEK 21/2025")</f>
        <v>WEEK 21/2025</v>
      </c>
      <c r="C403" s="361"/>
      <c r="D403" s="360"/>
      <c r="E403" s="360"/>
      <c r="F403" s="360"/>
      <c r="G403" s="360"/>
      <c r="H403" s="360"/>
      <c r="I403" s="362"/>
      <c r="J403" s="362"/>
      <c r="K403" s="362"/>
      <c r="L403" s="360"/>
      <c r="M403" s="360"/>
    </row>
    <row r="404" spans="1:13" ht="18.75">
      <c r="A404" s="360"/>
      <c r="B404" s="360"/>
      <c r="C404" s="361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404" s="360"/>
      <c r="E404" s="360"/>
      <c r="F404" s="360"/>
      <c r="G404" s="360"/>
      <c r="H404" s="360"/>
      <c r="I404" s="362"/>
      <c r="J404" s="362"/>
      <c r="K404" s="362"/>
      <c r="L404" s="360"/>
      <c r="M404" s="360"/>
    </row>
    <row r="405" spans="1:13" ht="18.75">
      <c r="A405" s="360" t="str">
        <f ca="1">IFERROR(__xludf.DUMMYFUNCTION("""COMPUTED_VALUE"""),"SERVICE")</f>
        <v>SERVICE</v>
      </c>
      <c r="B405" s="360" t="str">
        <f ca="1">IFERROR(__xludf.DUMMYFUNCTION("""COMPUTED_VALUE"""),"VESSEL NAME")</f>
        <v>VESSEL NAME</v>
      </c>
      <c r="C405" s="361" t="str">
        <f ca="1">IFERROR(__xludf.DUMMYFUNCTION("""COMPUTED_VALUE"""),"PORT")</f>
        <v>PORT</v>
      </c>
      <c r="D405" s="360" t="str">
        <f ca="1">IFERROR(__xludf.DUMMYFUNCTION("""COMPUTED_VALUE"""),"PERFOMA ETD")</f>
        <v>PERFOMA ETD</v>
      </c>
      <c r="E405" s="360" t="str">
        <f ca="1">IFERROR(__xludf.DUMMYFUNCTION("""COMPUTED_VALUE"""),"EX.RATE/DATE/")</f>
        <v>EX.RATE/DATE/</v>
      </c>
      <c r="F405" s="360" t="str">
        <f ca="1">IFERROR(__xludf.DUMMYFUNCTION("""COMPUTED_VALUE"""),"SI CUT OFF USA")</f>
        <v>SI CUT OFF USA</v>
      </c>
      <c r="G405" s="360" t="str">
        <f ca="1">IFERROR(__xludf.DUMMYFUNCTION("""COMPUTED_VALUE"""),"SI CUT OFF")</f>
        <v>SI CUT OFF</v>
      </c>
      <c r="H405" s="360" t="str">
        <f ca="1">IFERROR(__xludf.DUMMYFUNCTION("""COMPUTED_VALUE"""),"B/L CFM USA")</f>
        <v>B/L CFM USA</v>
      </c>
      <c r="I405" s="362" t="str">
        <f ca="1">IFERROR(__xludf.DUMMYFUNCTION("""COMPUTED_VALUE"""),"B/L CFM CHINA,JP,VN")</f>
        <v>B/L CFM CHINA,JP,VN</v>
      </c>
      <c r="J405" s="362" t="str">
        <f ca="1">IFERROR(__xludf.DUMMYFUNCTION("""COMPUTED_VALUE"""),"B/L CONFIRM")</f>
        <v>B/L CONFIRM</v>
      </c>
      <c r="K405" s="362" t="str">
        <f ca="1">IFERROR(__xludf.DUMMYFUNCTION("""COMPUTED_VALUE"""),"ETD")</f>
        <v>ETD</v>
      </c>
      <c r="L405" s="360" t="str">
        <f ca="1">IFERROR(__xludf.DUMMYFUNCTION("""COMPUTED_VALUE"""),"ATD")</f>
        <v>ATD</v>
      </c>
      <c r="M405" s="360" t="str">
        <f ca="1">IFERROR(__xludf.DUMMYFUNCTION("""COMPUTED_VALUE"""),"B/L ISSUED DATE")</f>
        <v>B/L ISSUED DATE</v>
      </c>
    </row>
    <row r="406" spans="1:13" ht="18.75">
      <c r="A406" s="360"/>
      <c r="B406" s="360"/>
      <c r="C406" s="361"/>
      <c r="D406" s="360"/>
      <c r="E406" s="360" t="str">
        <f ca="1">IFERROR(__xludf.DUMMYFUNCTION("""COMPUTED_VALUE"""),"BANGKOK BANK")</f>
        <v>BANGKOK BANK</v>
      </c>
      <c r="F406" s="360" t="str">
        <f ca="1">IFERROR(__xludf.DUMMYFUNCTION("""COMPUTED_VALUE"""),"4 days before ETD")</f>
        <v>4 days before ETD</v>
      </c>
      <c r="G406" s="360"/>
      <c r="H406" s="360" t="str">
        <f ca="1">IFERROR(__xludf.DUMMYFUNCTION("""COMPUTED_VALUE"""),"3 days before ETD")</f>
        <v>3 days before ETD</v>
      </c>
      <c r="I406" s="362" t="str">
        <f ca="1">IFERROR(__xludf.DUMMYFUNCTION("""COMPUTED_VALUE"""),"Direct port CUT OFF")</f>
        <v>Direct port CUT OFF</v>
      </c>
      <c r="J406" s="362" t="str">
        <f ca="1">IFERROR(__xludf.DUMMYFUNCTION("""COMPUTED_VALUE"""),"Orther port CUT OFF")</f>
        <v>Orther port CUT OFF</v>
      </c>
      <c r="K406" s="362" t="str">
        <f ca="1">IFERROR(__xludf.DUMMYFUNCTION("""COMPUTED_VALUE"""),"ON BOARD DATE")</f>
        <v>ON BOARD DATE</v>
      </c>
      <c r="L406" s="360" t="str">
        <f ca="1">IFERROR(__xludf.DUMMYFUNCTION("""COMPUTED_VALUE"""),"วันเรือออกจริง")</f>
        <v>วันเรือออกจริง</v>
      </c>
      <c r="M406" s="360" t="str">
        <f ca="1">IFERROR(__xludf.DUMMYFUNCTION("""COMPUTED_VALUE"""),"วันปล่อยบีแอล")</f>
        <v>วันปล่อยบีแอล</v>
      </c>
    </row>
    <row r="407" spans="1:13" ht="18.75">
      <c r="A407" s="360"/>
      <c r="B407" s="360"/>
      <c r="C407" s="361"/>
      <c r="D407" s="360"/>
      <c r="E407" s="360"/>
      <c r="F407" s="360"/>
      <c r="G407" s="360" t="str">
        <f ca="1">IFERROR(__xludf.DUMMYFUNCTION("""COMPUTED_VALUE"""),"3 days before ETD")</f>
        <v>3 days before ETD</v>
      </c>
      <c r="H407" s="360"/>
      <c r="I407" s="362" t="str">
        <f ca="1">IFERROR(__xludf.DUMMYFUNCTION("""COMPUTED_VALUE"""),"2 days before ETD")</f>
        <v>2 days before ETD</v>
      </c>
      <c r="J407" s="362" t="str">
        <f ca="1">IFERROR(__xludf.DUMMYFUNCTION("""COMPUTED_VALUE"""),"1 days before ETD")</f>
        <v>1 days before ETD</v>
      </c>
      <c r="K407" s="362" t="str">
        <f ca="1">IFERROR(__xludf.DUMMYFUNCTION("""COMPUTED_VALUE"""),"SHOW ON B/L")</f>
        <v>SHOW ON B/L</v>
      </c>
      <c r="L407" s="360"/>
      <c r="M407" s="360"/>
    </row>
    <row r="408" spans="1:13" ht="18.75">
      <c r="A408" s="360" t="str">
        <f ca="1">IFERROR(__xludf.DUMMYFUNCTION("""COMPUTED_VALUE"""),"JHTS")</f>
        <v>JHTS</v>
      </c>
      <c r="B408" s="360" t="str">
        <f ca="1">IFERROR(__xludf.DUMMYFUNCTION("""COMPUTED_VALUE"""),"TS KWANGYANG V.25005N")</f>
        <v>TS KWANGYANG V.25005N</v>
      </c>
      <c r="C408" s="361" t="str">
        <f ca="1">IFERROR(__xludf.DUMMYFUNCTION("""COMPUTED_VALUE"""),"THBKK")</f>
        <v>THBKK</v>
      </c>
      <c r="D408" s="360" t="str">
        <f ca="1">IFERROR(__xludf.DUMMYFUNCTION("""COMPUTED_VALUE"""),"18/05/2025 06:00")</f>
        <v>18/05/2025 06:00</v>
      </c>
      <c r="E408" s="360" t="str">
        <f ca="1">IFERROR(__xludf.DUMMYFUNCTION("""COMPUTED_VALUE"""),"33.30 09/05/2025")</f>
        <v>33.30 09/05/2025</v>
      </c>
      <c r="F408" s="360" t="str">
        <f ca="1">IFERROR(__xludf.DUMMYFUNCTION("""COMPUTED_VALUE"""),"16/05/2025 13:00")</f>
        <v>16/05/2025 13:00</v>
      </c>
      <c r="G408" s="360" t="str">
        <f ca="1">IFERROR(__xludf.DUMMYFUNCTION("""COMPUTED_VALUE"""),"16/05/2025 15:00")</f>
        <v>16/05/2025 15:00</v>
      </c>
      <c r="H408" s="360" t="str">
        <f ca="1">IFERROR(__xludf.DUMMYFUNCTION("""COMPUTED_VALUE"""),"16/05/2025 13:00")</f>
        <v>16/05/2025 13:00</v>
      </c>
      <c r="I408" s="362" t="str">
        <f ca="1">IFERROR(__xludf.DUMMYFUNCTION("""COMPUTED_VALUE"""),"19/05/2025 15:00")</f>
        <v>19/05/2025 15:00</v>
      </c>
      <c r="J408" s="362" t="str">
        <f ca="1">IFERROR(__xludf.DUMMYFUNCTION("""COMPUTED_VALUE"""),"20/05/2025 16:00")</f>
        <v>20/05/2025 16:00</v>
      </c>
      <c r="K408" s="362" t="str">
        <f ca="1">IFERROR(__xludf.DUMMYFUNCTION("""COMPUTED_VALUE"""),"21/05/2025 05:00")</f>
        <v>21/05/2025 05:00</v>
      </c>
      <c r="L408" s="360" t="str">
        <f ca="1">IFERROR(__xludf.DUMMYFUNCTION("""COMPUTED_VALUE"""),"21/05/2025 05:00")</f>
        <v>21/05/2025 05:00</v>
      </c>
      <c r="M408" s="360" t="str">
        <f ca="1">IFERROR(__xludf.DUMMYFUNCTION("""COMPUTED_VALUE"""),"21/05/2025 NOON")</f>
        <v>21/05/2025 NOON</v>
      </c>
    </row>
    <row r="409" spans="1:13" ht="18.75">
      <c r="A409" s="360"/>
      <c r="B409" s="360"/>
      <c r="C409" s="361" t="str">
        <f ca="1">IFERROR(__xludf.DUMMYFUNCTION("""COMPUTED_VALUE"""),"THLCB")</f>
        <v>THLCB</v>
      </c>
      <c r="D409" s="360" t="str">
        <f ca="1">IFERROR(__xludf.DUMMYFUNCTION("""COMPUTED_VALUE"""),"19/05/2025 06:00")</f>
        <v>19/05/2025 06:00</v>
      </c>
      <c r="E409" s="360"/>
      <c r="F409" s="360" t="str">
        <f ca="1">IFERROR(__xludf.DUMMYFUNCTION("""COMPUTED_VALUE"""),"16/05/2025 13:00")</f>
        <v>16/05/2025 13:00</v>
      </c>
      <c r="G409" s="360" t="str">
        <f ca="1">IFERROR(__xludf.DUMMYFUNCTION("""COMPUTED_VALUE"""),"16/05/2025 15:00")</f>
        <v>16/05/2025 15:00</v>
      </c>
      <c r="H409" s="360" t="str">
        <f ca="1">IFERROR(__xludf.DUMMYFUNCTION("""COMPUTED_VALUE"""),"16/05/2025 13:00")</f>
        <v>16/05/2025 13:00</v>
      </c>
      <c r="I409" s="362" t="str">
        <f ca="1">IFERROR(__xludf.DUMMYFUNCTION("""COMPUTED_VALUE"""),"19/05/2025 15:00")</f>
        <v>19/05/2025 15:00</v>
      </c>
      <c r="J409" s="362" t="str">
        <f ca="1">IFERROR(__xludf.DUMMYFUNCTION("""COMPUTED_VALUE"""),"20/05/2025 16:00")</f>
        <v>20/05/2025 16:00</v>
      </c>
      <c r="K409" s="362" t="str">
        <f ca="1">IFERROR(__xludf.DUMMYFUNCTION("""COMPUTED_VALUE"""),"21/05/2025 23:00")</f>
        <v>21/05/2025 23:00</v>
      </c>
      <c r="L409" s="360" t="str">
        <f ca="1">IFERROR(__xludf.DUMMYFUNCTION("""COMPUTED_VALUE"""),"22/05/2025  02:41")</f>
        <v>22/05/2025  02:41</v>
      </c>
      <c r="M409" s="360" t="str">
        <f ca="1">IFERROR(__xludf.DUMMYFUNCTION("""COMPUTED_VALUE"""),"22/05/2025 NOON")</f>
        <v>22/05/2025 NOON</v>
      </c>
    </row>
    <row r="410" spans="1:13" ht="18.75">
      <c r="A410" s="360" t="str">
        <f ca="1">IFERROR(__xludf.DUMMYFUNCTION("""COMPUTED_VALUE"""),"TRX")</f>
        <v>TRX</v>
      </c>
      <c r="B410" s="360" t="str">
        <f ca="1">IFERROR(__xludf.DUMMYFUNCTION("""COMPUTED_VALUE"""),"TS NAGOYA V.25008N")</f>
        <v>TS NAGOYA V.25008N</v>
      </c>
      <c r="C410" s="361" t="str">
        <f ca="1">IFERROR(__xludf.DUMMYFUNCTION("""COMPUTED_VALUE"""),"THBKK")</f>
        <v>THBKK</v>
      </c>
      <c r="D410" s="360" t="str">
        <f ca="1">IFERROR(__xludf.DUMMYFUNCTION("""COMPUTED_VALUE"""),"20/05/2025 19:30")</f>
        <v>20/05/2025 19:30</v>
      </c>
      <c r="E410" s="360" t="str">
        <f ca="1">IFERROR(__xludf.DUMMYFUNCTION("""COMPUTED_VALUE"""),"33.30 09/05/2025")</f>
        <v>33.30 09/05/2025</v>
      </c>
      <c r="F410" s="360" t="str">
        <f ca="1">IFERROR(__xludf.DUMMYFUNCTION("""COMPUTED_VALUE"""),"16/05/2025 13:00")</f>
        <v>16/05/2025 13:00</v>
      </c>
      <c r="G410" s="360" t="str">
        <f ca="1">IFERROR(__xludf.DUMMYFUNCTION("""COMPUTED_VALUE"""),"16/05/2025 15:00")</f>
        <v>16/05/2025 15:00</v>
      </c>
      <c r="H410" s="360" t="str">
        <f ca="1">IFERROR(__xludf.DUMMYFUNCTION("""COMPUTED_VALUE"""),"16/05/2025 13:00")</f>
        <v>16/05/2025 13:00</v>
      </c>
      <c r="I410" s="362" t="str">
        <f ca="1">IFERROR(__xludf.DUMMYFUNCTION("""COMPUTED_VALUE"""),"16/05/2025 15:00")</f>
        <v>16/05/2025 15:00</v>
      </c>
      <c r="J410" s="362" t="str">
        <f ca="1">IFERROR(__xludf.DUMMYFUNCTION("""COMPUTED_VALUE"""),"19/05/2025 16:00")</f>
        <v>19/05/2025 16:00</v>
      </c>
      <c r="K410" s="362" t="str">
        <f ca="1">IFERROR(__xludf.DUMMYFUNCTION("""COMPUTED_VALUE"""),"20/05/2025 20:00")</f>
        <v>20/05/2025 20:00</v>
      </c>
      <c r="L410" s="360" t="str">
        <f ca="1">IFERROR(__xludf.DUMMYFUNCTION("""COMPUTED_VALUE"""),"20/05/2025  22:00")</f>
        <v>20/05/2025  22:00</v>
      </c>
      <c r="M410" s="360" t="str">
        <f ca="1">IFERROR(__xludf.DUMMYFUNCTION("""COMPUTED_VALUE"""),"21/05/2025 MORNING")</f>
        <v>21/05/2025 MORNING</v>
      </c>
    </row>
    <row r="411" spans="1:13" ht="18.75">
      <c r="A411" s="360"/>
      <c r="B411" s="360"/>
      <c r="C411" s="361" t="str">
        <f ca="1">IFERROR(__xludf.DUMMYFUNCTION("""COMPUTED_VALUE"""),"THLCB")</f>
        <v>THLCB</v>
      </c>
      <c r="D411" s="360" t="str">
        <f ca="1">IFERROR(__xludf.DUMMYFUNCTION("""COMPUTED_VALUE"""),"21/05/2025 09:00")</f>
        <v>21/05/2025 09:00</v>
      </c>
      <c r="E411" s="360"/>
      <c r="F411" s="360" t="str">
        <f ca="1">IFERROR(__xludf.DUMMYFUNCTION("""COMPUTED_VALUE"""),"16/05/2025 13:00")</f>
        <v>16/05/2025 13:00</v>
      </c>
      <c r="G411" s="360" t="str">
        <f ca="1">IFERROR(__xludf.DUMMYFUNCTION("""COMPUTED_VALUE"""),"16/05/2025 15:00")</f>
        <v>16/05/2025 15:00</v>
      </c>
      <c r="H411" s="360" t="str">
        <f ca="1">IFERROR(__xludf.DUMMYFUNCTION("""COMPUTED_VALUE"""),"16/05/2025 13:00")</f>
        <v>16/05/2025 13:00</v>
      </c>
      <c r="I411" s="362" t="str">
        <f ca="1">IFERROR(__xludf.DUMMYFUNCTION("""COMPUTED_VALUE"""),"19/05/2025 15:00")</f>
        <v>19/05/2025 15:00</v>
      </c>
      <c r="J411" s="362" t="str">
        <f ca="1">IFERROR(__xludf.DUMMYFUNCTION("""COMPUTED_VALUE"""),"20/05/2025 16:00")</f>
        <v>20/05/2025 16:00</v>
      </c>
      <c r="K411" s="362" t="str">
        <f ca="1">IFERROR(__xludf.DUMMYFUNCTION("""COMPUTED_VALUE"""),"22/05/2025 13:00")</f>
        <v>22/05/2025 13:00</v>
      </c>
      <c r="L411" s="360" t="str">
        <f ca="1">IFERROR(__xludf.DUMMYFUNCTION("""COMPUTED_VALUE"""),"22/05/2025  13:20")</f>
        <v>22/05/2025  13:20</v>
      </c>
      <c r="M411" s="360" t="str">
        <f ca="1">IFERROR(__xludf.DUMMYFUNCTION("""COMPUTED_VALUE"""),"23/05/2025 MORNING")</f>
        <v>23/05/2025 MORNING</v>
      </c>
    </row>
    <row r="412" spans="1:13" ht="18.75">
      <c r="A412" s="360" t="str">
        <f ca="1">IFERROR(__xludf.DUMMYFUNCTION("""COMPUTED_VALUE"""),"CHT")</f>
        <v>CHT</v>
      </c>
      <c r="B412" s="360" t="str">
        <f ca="1">IFERROR(__xludf.DUMMYFUNCTION("""COMPUTED_VALUE"""),"TS TIANJIN V.25005N")</f>
        <v>TS TIANJIN V.25005N</v>
      </c>
      <c r="C412" s="361" t="str">
        <f ca="1">IFERROR(__xludf.DUMMYFUNCTION("""COMPUTED_VALUE"""),"THBKK")</f>
        <v>THBKK</v>
      </c>
      <c r="D412" s="360" t="str">
        <f ca="1">IFERROR(__xludf.DUMMYFUNCTION("""COMPUTED_VALUE"""),"14/05/2025 08:00")</f>
        <v>14/05/2025 08:00</v>
      </c>
      <c r="E412" s="360" t="str">
        <f ca="1">IFERROR(__xludf.DUMMYFUNCTION("""COMPUTED_VALUE"""),"33.60 15/05/2025")</f>
        <v>33.60 15/05/2025</v>
      </c>
      <c r="F412" s="360" t="str">
        <f ca="1">IFERROR(__xludf.DUMMYFUNCTION("""COMPUTED_VALUE"""),"19/05/2025 13:00")</f>
        <v>19/05/2025 13:00</v>
      </c>
      <c r="G412" s="360" t="str">
        <f ca="1">IFERROR(__xludf.DUMMYFUNCTION("""COMPUTED_VALUE"""),"20/05/2025 15:00")</f>
        <v>20/05/2025 15:00</v>
      </c>
      <c r="H412" s="360" t="str">
        <f ca="1">IFERROR(__xludf.DUMMYFUNCTION("""COMPUTED_VALUE"""),"20/05/2025 13:00")</f>
        <v>20/05/2025 13:00</v>
      </c>
      <c r="I412" s="362" t="str">
        <f ca="1">IFERROR(__xludf.DUMMYFUNCTION("""COMPUTED_VALUE"""),"21/05/2025 15:00")</f>
        <v>21/05/2025 15:00</v>
      </c>
      <c r="J412" s="362" t="str">
        <f ca="1">IFERROR(__xludf.DUMMYFUNCTION("""COMPUTED_VALUE"""),"22/05/2025 16:00")</f>
        <v>22/05/2025 16:00</v>
      </c>
      <c r="K412" s="362" t="str">
        <f ca="1">IFERROR(__xludf.DUMMYFUNCTION("""COMPUTED_VALUE"""),"23/05/2025 23:00")</f>
        <v>23/05/2025 23:00</v>
      </c>
      <c r="L412" s="360" t="str">
        <f ca="1">IFERROR(__xludf.DUMMYFUNCTION("""COMPUTED_VALUE"""),"23/05/2025  21:00")</f>
        <v>23/05/2025  21:00</v>
      </c>
      <c r="M412" s="360" t="str">
        <f ca="1">IFERROR(__xludf.DUMMYFUNCTION("""COMPUTED_VALUE"""),"26/05/2025 MORNING")</f>
        <v>26/05/2025 MORNING</v>
      </c>
    </row>
    <row r="413" spans="1:13" ht="18.75">
      <c r="A413" s="360"/>
      <c r="B413" s="360"/>
      <c r="C413" s="361" t="str">
        <f ca="1">IFERROR(__xludf.DUMMYFUNCTION("""COMPUTED_VALUE"""),"THLCB")</f>
        <v>THLCB</v>
      </c>
      <c r="D413" s="360" t="str">
        <f ca="1">IFERROR(__xludf.DUMMYFUNCTION("""COMPUTED_VALUE"""),"15/05/2025 04:00")</f>
        <v>15/05/2025 04:00</v>
      </c>
      <c r="E413" s="360"/>
      <c r="F413" s="360" t="str">
        <f ca="1">IFERROR(__xludf.DUMMYFUNCTION("""COMPUTED_VALUE"""),"20/05/2025 13:00")</f>
        <v>20/05/2025 13:00</v>
      </c>
      <c r="G413" s="360" t="str">
        <f ca="1">IFERROR(__xludf.DUMMYFUNCTION("""COMPUTED_VALUE"""),"21/05/2025 15:00")</f>
        <v>21/05/2025 15:00</v>
      </c>
      <c r="H413" s="360" t="str">
        <f ca="1">IFERROR(__xludf.DUMMYFUNCTION("""COMPUTED_VALUE"""),"21/05/2025 13:00")</f>
        <v>21/05/2025 13:00</v>
      </c>
      <c r="I413" s="362" t="str">
        <f ca="1">IFERROR(__xludf.DUMMYFUNCTION("""COMPUTED_VALUE"""),"22/05/2025 15:00")</f>
        <v>22/05/2025 15:00</v>
      </c>
      <c r="J413" s="362" t="str">
        <f ca="1">IFERROR(__xludf.DUMMYFUNCTION("""COMPUTED_VALUE"""),"23/05/2025 16:00")</f>
        <v>23/05/2025 16:00</v>
      </c>
      <c r="K413" s="362" t="str">
        <f ca="1">IFERROR(__xludf.DUMMYFUNCTION("""COMPUTED_VALUE"""),"24/05/2025 23:00")</f>
        <v>24/05/2025 23:00</v>
      </c>
      <c r="L413" s="360" t="str">
        <f ca="1">IFERROR(__xludf.DUMMYFUNCTION("""COMPUTED_VALUE"""),"25/05/2025  05:00")</f>
        <v>25/05/2025  05:00</v>
      </c>
      <c r="M413" s="360" t="str">
        <f ca="1">IFERROR(__xludf.DUMMYFUNCTION("""COMPUTED_VALUE"""),"26/05/2025 MORNING")</f>
        <v>26/05/2025 MORNING</v>
      </c>
    </row>
    <row r="414" spans="1:13" ht="18.75">
      <c r="A414" s="360" t="str">
        <f ca="1">IFERROR(__xludf.DUMMYFUNCTION("""COMPUTED_VALUE"""),"CVT")</f>
        <v>CVT</v>
      </c>
      <c r="B414" s="360" t="str">
        <f ca="1">IFERROR(__xludf.DUMMYFUNCTION("""COMPUTED_VALUE"""),"KMTC POHANG V.2505N")</f>
        <v>KMTC POHANG V.2505N</v>
      </c>
      <c r="C414" s="361" t="str">
        <f ca="1">IFERROR(__xludf.DUMMYFUNCTION("""COMPUTED_VALUE"""),"THBKK")</f>
        <v>THBKK</v>
      </c>
      <c r="D414" s="360" t="str">
        <f ca="1">IFERROR(__xludf.DUMMYFUNCTION("""COMPUTED_VALUE"""),"15/05/2025 08:00")</f>
        <v>15/05/2025 08:00</v>
      </c>
      <c r="E414" s="360" t="str">
        <f ca="1">IFERROR(__xludf.DUMMYFUNCTION("""COMPUTED_VALUE"""),"33.30 09/05/2025")</f>
        <v>33.30 09/05/2025</v>
      </c>
      <c r="F414" s="360" t="str">
        <f ca="1">IFERROR(__xludf.DUMMYFUNCTION("""COMPUTED_VALUE"""),"13/05/2025 13:00")</f>
        <v>13/05/2025 13:00</v>
      </c>
      <c r="G414" s="360" t="str">
        <f ca="1">IFERROR(__xludf.DUMMYFUNCTION("""COMPUTED_VALUE"""),"14/05/2025 15:00")</f>
        <v>14/05/2025 15:00</v>
      </c>
      <c r="H414" s="360" t="str">
        <f ca="1">IFERROR(__xludf.DUMMYFUNCTION("""COMPUTED_VALUE"""),"14/05/2025 13:00")</f>
        <v>14/05/2025 13:00</v>
      </c>
      <c r="I414" s="362" t="str">
        <f ca="1">IFERROR(__xludf.DUMMYFUNCTION("""COMPUTED_VALUE"""),"15/05/2025 16:00")</f>
        <v>15/05/2025 16:00</v>
      </c>
      <c r="J414" s="362" t="str">
        <f ca="1">IFERROR(__xludf.DUMMYFUNCTION("""COMPUTED_VALUE"""),"16/05/2025 16:00")</f>
        <v>16/05/2025 16:00</v>
      </c>
      <c r="K414" s="362" t="str">
        <f ca="1">IFERROR(__xludf.DUMMYFUNCTION("""COMPUTED_VALUE"""),"19/05/2025 19:00")</f>
        <v>19/05/2025 19:00</v>
      </c>
      <c r="L414" s="360" t="str">
        <f ca="1">IFERROR(__xludf.DUMMYFUNCTION("""COMPUTED_VALUE"""),"19/05/2025  19:00")</f>
        <v>19/05/2025  19:00</v>
      </c>
      <c r="M414" s="360" t="str">
        <f ca="1">IFERROR(__xludf.DUMMYFUNCTION("""COMPUTED_VALUE"""),"20/05/2025 MORNING")</f>
        <v>20/05/2025 MORNING</v>
      </c>
    </row>
    <row r="415" spans="1:13" ht="18.75">
      <c r="A415" s="360"/>
      <c r="B415" s="360"/>
      <c r="C415" s="361" t="str">
        <f ca="1">IFERROR(__xludf.DUMMYFUNCTION("""COMPUTED_VALUE"""),"THLCB")</f>
        <v>THLCB</v>
      </c>
      <c r="D415" s="360" t="str">
        <f ca="1">IFERROR(__xludf.DUMMYFUNCTION("""COMPUTED_VALUE"""),"16/05/2025 04:00")</f>
        <v>16/05/2025 04:00</v>
      </c>
      <c r="E415" s="360"/>
      <c r="F415" s="360" t="str">
        <f ca="1">IFERROR(__xludf.DUMMYFUNCTION("""COMPUTED_VALUE"""),"16/05/2025 13:00")</f>
        <v>16/05/2025 13:00</v>
      </c>
      <c r="G415" s="360" t="str">
        <f ca="1">IFERROR(__xludf.DUMMYFUNCTION("""COMPUTED_VALUE"""),"16/05/2025 15:00")</f>
        <v>16/05/2025 15:00</v>
      </c>
      <c r="H415" s="360" t="str">
        <f ca="1">IFERROR(__xludf.DUMMYFUNCTION("""COMPUTED_VALUE"""),"16/05/2025 13:00")</f>
        <v>16/05/2025 13:00</v>
      </c>
      <c r="I415" s="362" t="str">
        <f ca="1">IFERROR(__xludf.DUMMYFUNCTION("""COMPUTED_VALUE"""),"16/05/2025 15:00")</f>
        <v>16/05/2025 15:00</v>
      </c>
      <c r="J415" s="362" t="str">
        <f ca="1">IFERROR(__xludf.DUMMYFUNCTION("""COMPUTED_VALUE"""),"20/05/2025 16:00")</f>
        <v>20/05/2025 16:00</v>
      </c>
      <c r="K415" s="362" t="str">
        <f ca="1">IFERROR(__xludf.DUMMYFUNCTION("""COMPUTED_VALUE"""),"21/05/2025 19:00")</f>
        <v>21/05/2025 19:00</v>
      </c>
      <c r="L415" s="360" t="str">
        <f ca="1">IFERROR(__xludf.DUMMYFUNCTION("""COMPUTED_VALUE"""),"21/05/2025 22:00")</f>
        <v>21/05/2025 22:00</v>
      </c>
      <c r="M415" s="360" t="str">
        <f ca="1">IFERROR(__xludf.DUMMYFUNCTION("""COMPUTED_VALUE"""),"22/05/2025 MORNING")</f>
        <v>22/05/2025 MORNING</v>
      </c>
    </row>
    <row r="416" spans="1:13" ht="18.75">
      <c r="A416" s="360" t="str">
        <f ca="1">IFERROR(__xludf.DUMMYFUNCTION("""COMPUTED_VALUE"""),"CVT")</f>
        <v>CVT</v>
      </c>
      <c r="B416" s="360" t="str">
        <f ca="1">IFERROR(__xludf.DUMMYFUNCTION("""COMPUTED_VALUE"""),"TS QINGDAO V.25007N")</f>
        <v>TS QINGDAO V.25007N</v>
      </c>
      <c r="C416" s="361" t="str">
        <f ca="1">IFERROR(__xludf.DUMMYFUNCTION("""COMPUTED_VALUE"""),"THBKK")</f>
        <v>THBKK</v>
      </c>
      <c r="D416" s="360" t="str">
        <f ca="1">IFERROR(__xludf.DUMMYFUNCTION("""COMPUTED_VALUE"""),"22/05/2025 08:00")</f>
        <v>22/05/2025 08:00</v>
      </c>
      <c r="E416" s="360" t="str">
        <f ca="1">IFERROR(__xludf.DUMMYFUNCTION("""COMPUTED_VALUE"""),"33.60 15/05/2025")</f>
        <v>33.60 15/05/2025</v>
      </c>
      <c r="F416" s="360" t="str">
        <f ca="1">IFERROR(__xludf.DUMMYFUNCTION("""COMPUTED_VALUE"""),"20/05/2025 13:00")</f>
        <v>20/05/2025 13:00</v>
      </c>
      <c r="G416" s="360" t="str">
        <f ca="1">IFERROR(__xludf.DUMMYFUNCTION("""COMPUTED_VALUE"""),"21/05/2025 15:00")</f>
        <v>21/05/2025 15:00</v>
      </c>
      <c r="H416" s="360" t="str">
        <f ca="1">IFERROR(__xludf.DUMMYFUNCTION("""COMPUTED_VALUE"""),"21/05/2025 13:00")</f>
        <v>21/05/2025 13:00</v>
      </c>
      <c r="I416" s="362" t="str">
        <f ca="1">IFERROR(__xludf.DUMMYFUNCTION("""COMPUTED_VALUE"""),"22/05/2025 15:00")</f>
        <v>22/05/2025 15:00</v>
      </c>
      <c r="J416" s="362" t="str">
        <f ca="1">IFERROR(__xludf.DUMMYFUNCTION("""COMPUTED_VALUE"""),"23/05/2025 16:00")</f>
        <v>23/05/2025 16:00</v>
      </c>
      <c r="K416" s="362" t="str">
        <f ca="1">IFERROR(__xludf.DUMMYFUNCTION("""COMPUTED_VALUE"""),"23/05/2025 23:00")</f>
        <v>23/05/2025 23:00</v>
      </c>
      <c r="L416" s="360" t="str">
        <f ca="1">IFERROR(__xludf.DUMMYFUNCTION("""COMPUTED_VALUE"""),"23/05/2025  23:59")</f>
        <v>23/05/2025  23:59</v>
      </c>
      <c r="M416" s="360" t="str">
        <f ca="1">IFERROR(__xludf.DUMMYFUNCTION("""COMPUTED_VALUE"""),"26/05/2025 MORNING")</f>
        <v>26/05/2025 MORNING</v>
      </c>
    </row>
    <row r="417" spans="1:13" ht="18.75">
      <c r="A417" s="360"/>
      <c r="B417" s="360"/>
      <c r="C417" s="361" t="str">
        <f ca="1">IFERROR(__xludf.DUMMYFUNCTION("""COMPUTED_VALUE"""),"THLCB")</f>
        <v>THLCB</v>
      </c>
      <c r="D417" s="360" t="str">
        <f ca="1">IFERROR(__xludf.DUMMYFUNCTION("""COMPUTED_VALUE"""),"23/05/2025 04:00")</f>
        <v>23/05/2025 04:00</v>
      </c>
      <c r="E417" s="360"/>
      <c r="F417" s="360" t="str">
        <f ca="1">IFERROR(__xludf.DUMMYFUNCTION("""COMPUTED_VALUE"""),"21/05/2025 13:00")</f>
        <v>21/05/2025 13:00</v>
      </c>
      <c r="G417" s="360" t="str">
        <f ca="1">IFERROR(__xludf.DUMMYFUNCTION("""COMPUTED_VALUE"""),"22/05/2025 15:00")</f>
        <v>22/05/2025 15:00</v>
      </c>
      <c r="H417" s="360" t="str">
        <f ca="1">IFERROR(__xludf.DUMMYFUNCTION("""COMPUTED_VALUE"""),"22/05/2025 13:00")</f>
        <v>22/05/2025 13:00</v>
      </c>
      <c r="I417" s="362" t="str">
        <f ca="1">IFERROR(__xludf.DUMMYFUNCTION("""COMPUTED_VALUE"""),"23/05/2025 15:00")</f>
        <v>23/05/2025 15:00</v>
      </c>
      <c r="J417" s="362" t="str">
        <f ca="1">IFERROR(__xludf.DUMMYFUNCTION("""COMPUTED_VALUE"""),"24/05/2025 16:00")</f>
        <v>24/05/2025 16:00</v>
      </c>
      <c r="K417" s="362" t="str">
        <f ca="1">IFERROR(__xludf.DUMMYFUNCTION("""COMPUTED_VALUE"""),"25/05/2025 04:00")</f>
        <v>25/05/2025 04:00</v>
      </c>
      <c r="L417" s="360" t="str">
        <f ca="1">IFERROR(__xludf.DUMMYFUNCTION("""COMPUTED_VALUE"""),"25/05/2025  23:00")</f>
        <v>25/05/2025  23:00</v>
      </c>
      <c r="M417" s="360" t="str">
        <f ca="1">IFERROR(__xludf.DUMMYFUNCTION("""COMPUTED_VALUE"""),"26/05/2025 MORNING")</f>
        <v>26/05/2025 MORNING</v>
      </c>
    </row>
    <row r="418" spans="1:13" ht="18.75">
      <c r="A418" s="360"/>
      <c r="B418" s="360"/>
      <c r="C418" s="361"/>
      <c r="D418" s="360"/>
      <c r="E418" s="360"/>
      <c r="F418" s="360"/>
      <c r="G418" s="360"/>
      <c r="H418" s="360"/>
      <c r="I418" s="362"/>
      <c r="J418" s="362"/>
      <c r="K418" s="362"/>
      <c r="L418" s="360"/>
      <c r="M418" s="360"/>
    </row>
    <row r="419" spans="1:13" ht="18.75">
      <c r="A419" s="360"/>
      <c r="B419" s="360" t="str">
        <f ca="1">IFERROR(__xludf.DUMMYFUNCTION("""COMPUTED_VALUE"""),"WEEK 20/2025")</f>
        <v>WEEK 20/2025</v>
      </c>
      <c r="C419" s="361" t="str">
        <f ca="1">IFERROR(__xludf.DUMMYFUNCTION("""COMPUTED_VALUE"""),"12 MAY 2025 Holidays Visakha Bucha Day")</f>
        <v>12 MAY 2025 Holidays Visakha Bucha Day</v>
      </c>
      <c r="D419" s="360"/>
      <c r="E419" s="360"/>
      <c r="F419" s="360"/>
      <c r="G419" s="360"/>
      <c r="H419" s="360"/>
      <c r="I419" s="362"/>
      <c r="J419" s="362"/>
      <c r="K419" s="362"/>
      <c r="L419" s="360"/>
      <c r="M419" s="360"/>
    </row>
    <row r="420" spans="1:13" ht="18.75">
      <c r="A420" s="360"/>
      <c r="B420" s="360"/>
      <c r="C420" s="361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420" s="360"/>
      <c r="E420" s="360"/>
      <c r="F420" s="360"/>
      <c r="G420" s="360"/>
      <c r="H420" s="360"/>
      <c r="I420" s="362"/>
      <c r="J420" s="362"/>
      <c r="K420" s="362"/>
      <c r="L420" s="360"/>
      <c r="M420" s="360"/>
    </row>
    <row r="421" spans="1:13" ht="18.75">
      <c r="A421" s="360" t="str">
        <f ca="1">IFERROR(__xludf.DUMMYFUNCTION("""COMPUTED_VALUE"""),"SERVICE")</f>
        <v>SERVICE</v>
      </c>
      <c r="B421" s="360" t="str">
        <f ca="1">IFERROR(__xludf.DUMMYFUNCTION("""COMPUTED_VALUE"""),"VESSEL NAME")</f>
        <v>VESSEL NAME</v>
      </c>
      <c r="C421" s="361" t="str">
        <f ca="1">IFERROR(__xludf.DUMMYFUNCTION("""COMPUTED_VALUE"""),"PORT")</f>
        <v>PORT</v>
      </c>
      <c r="D421" s="360" t="str">
        <f ca="1">IFERROR(__xludf.DUMMYFUNCTION("""COMPUTED_VALUE"""),"PERFOMA ETD")</f>
        <v>PERFOMA ETD</v>
      </c>
      <c r="E421" s="360" t="str">
        <f ca="1">IFERROR(__xludf.DUMMYFUNCTION("""COMPUTED_VALUE"""),"EX.RATE/DATE/")</f>
        <v>EX.RATE/DATE/</v>
      </c>
      <c r="F421" s="360" t="str">
        <f ca="1">IFERROR(__xludf.DUMMYFUNCTION("""COMPUTED_VALUE"""),"SI CUT OFF USA")</f>
        <v>SI CUT OFF USA</v>
      </c>
      <c r="G421" s="360" t="str">
        <f ca="1">IFERROR(__xludf.DUMMYFUNCTION("""COMPUTED_VALUE"""),"SI CUT OFF")</f>
        <v>SI CUT OFF</v>
      </c>
      <c r="H421" s="360" t="str">
        <f ca="1">IFERROR(__xludf.DUMMYFUNCTION("""COMPUTED_VALUE"""),"B/L CFM USA")</f>
        <v>B/L CFM USA</v>
      </c>
      <c r="I421" s="362" t="str">
        <f ca="1">IFERROR(__xludf.DUMMYFUNCTION("""COMPUTED_VALUE"""),"B/L CFM CHINA,JP,VN")</f>
        <v>B/L CFM CHINA,JP,VN</v>
      </c>
      <c r="J421" s="362" t="str">
        <f ca="1">IFERROR(__xludf.DUMMYFUNCTION("""COMPUTED_VALUE"""),"B/L CONFIRM")</f>
        <v>B/L CONFIRM</v>
      </c>
      <c r="K421" s="362" t="str">
        <f ca="1">IFERROR(__xludf.DUMMYFUNCTION("""COMPUTED_VALUE"""),"ETD")</f>
        <v>ETD</v>
      </c>
      <c r="L421" s="360" t="str">
        <f ca="1">IFERROR(__xludf.DUMMYFUNCTION("""COMPUTED_VALUE"""),"ATD")</f>
        <v>ATD</v>
      </c>
      <c r="M421" s="360" t="str">
        <f ca="1">IFERROR(__xludf.DUMMYFUNCTION("""COMPUTED_VALUE"""),"B/L ISSUED DATE")</f>
        <v>B/L ISSUED DATE</v>
      </c>
    </row>
    <row r="422" spans="1:13" ht="18.75">
      <c r="A422" s="360"/>
      <c r="B422" s="360"/>
      <c r="C422" s="361"/>
      <c r="D422" s="360"/>
      <c r="E422" s="360" t="str">
        <f ca="1">IFERROR(__xludf.DUMMYFUNCTION("""COMPUTED_VALUE"""),"BANGKOK BANK")</f>
        <v>BANGKOK BANK</v>
      </c>
      <c r="F422" s="360" t="str">
        <f ca="1">IFERROR(__xludf.DUMMYFUNCTION("""COMPUTED_VALUE"""),"4 days before ETD")</f>
        <v>4 days before ETD</v>
      </c>
      <c r="G422" s="360"/>
      <c r="H422" s="360" t="str">
        <f ca="1">IFERROR(__xludf.DUMMYFUNCTION("""COMPUTED_VALUE"""),"3 days before ETD")</f>
        <v>3 days before ETD</v>
      </c>
      <c r="I422" s="362" t="str">
        <f ca="1">IFERROR(__xludf.DUMMYFUNCTION("""COMPUTED_VALUE"""),"Direct port CUT OFF")</f>
        <v>Direct port CUT OFF</v>
      </c>
      <c r="J422" s="362" t="str">
        <f ca="1">IFERROR(__xludf.DUMMYFUNCTION("""COMPUTED_VALUE"""),"Orther port CUT OFF")</f>
        <v>Orther port CUT OFF</v>
      </c>
      <c r="K422" s="362" t="str">
        <f ca="1">IFERROR(__xludf.DUMMYFUNCTION("""COMPUTED_VALUE"""),"ON BOARD DATE")</f>
        <v>ON BOARD DATE</v>
      </c>
      <c r="L422" s="360" t="str">
        <f ca="1">IFERROR(__xludf.DUMMYFUNCTION("""COMPUTED_VALUE"""),"วันเรือออกจริง")</f>
        <v>วันเรือออกจริง</v>
      </c>
      <c r="M422" s="360" t="str">
        <f ca="1">IFERROR(__xludf.DUMMYFUNCTION("""COMPUTED_VALUE"""),"วันปล่อยบีแอล")</f>
        <v>วันปล่อยบีแอล</v>
      </c>
    </row>
    <row r="423" spans="1:13" ht="18.75">
      <c r="A423" s="360"/>
      <c r="B423" s="360"/>
      <c r="C423" s="361"/>
      <c r="D423" s="360"/>
      <c r="E423" s="360"/>
      <c r="F423" s="360"/>
      <c r="G423" s="360" t="str">
        <f ca="1">IFERROR(__xludf.DUMMYFUNCTION("""COMPUTED_VALUE"""),"3 days before ETD")</f>
        <v>3 days before ETD</v>
      </c>
      <c r="H423" s="360"/>
      <c r="I423" s="362" t="str">
        <f ca="1">IFERROR(__xludf.DUMMYFUNCTION("""COMPUTED_VALUE"""),"2 days before ETD")</f>
        <v>2 days before ETD</v>
      </c>
      <c r="J423" s="362" t="str">
        <f ca="1">IFERROR(__xludf.DUMMYFUNCTION("""COMPUTED_VALUE"""),"1 days before ETD")</f>
        <v>1 days before ETD</v>
      </c>
      <c r="K423" s="362" t="str">
        <f ca="1">IFERROR(__xludf.DUMMYFUNCTION("""COMPUTED_VALUE"""),"SHOW ON B/L")</f>
        <v>SHOW ON B/L</v>
      </c>
      <c r="L423" s="360"/>
      <c r="M423" s="360"/>
    </row>
    <row r="424" spans="1:13" ht="18.75">
      <c r="A424" s="360" t="str">
        <f ca="1">IFERROR(__xludf.DUMMYFUNCTION("""COMPUTED_VALUE"""),"JHTS")</f>
        <v>JHTS</v>
      </c>
      <c r="B424" s="360" t="str">
        <f ca="1">IFERROR(__xludf.DUMMYFUNCTION("""COMPUTED_VALUE"""),"TS XIAMEN V.25007N")</f>
        <v>TS XIAMEN V.25007N</v>
      </c>
      <c r="C424" s="361" t="str">
        <f ca="1">IFERROR(__xludf.DUMMYFUNCTION("""COMPUTED_VALUE"""),"THBKK")</f>
        <v>THBKK</v>
      </c>
      <c r="D424" s="366">
        <f ca="1">IFERROR(__xludf.DUMMYFUNCTION("""COMPUTED_VALUE"""),45966.25)</f>
        <v>45966.25</v>
      </c>
      <c r="E424" s="360" t="str">
        <f ca="1">IFERROR(__xludf.DUMMYFUNCTION("""COMPUTED_VALUE"""),"33.33 02/05/2025")</f>
        <v>33.33 02/05/2025</v>
      </c>
      <c r="F424" s="366">
        <f ca="1">IFERROR(__xludf.DUMMYFUNCTION("""COMPUTED_VALUE"""),45813.5416666666)</f>
        <v>45813.541666666599</v>
      </c>
      <c r="G424" s="366">
        <f ca="1">IFERROR(__xludf.DUMMYFUNCTION("""COMPUTED_VALUE"""),45843.625)</f>
        <v>45843.625</v>
      </c>
      <c r="H424" s="366">
        <f ca="1">IFERROR(__xludf.DUMMYFUNCTION("""COMPUTED_VALUE"""),45843.5416666666)</f>
        <v>45843.541666666599</v>
      </c>
      <c r="I424" s="369">
        <f ca="1">IFERROR(__xludf.DUMMYFUNCTION("""COMPUTED_VALUE"""),45874.6666666666)</f>
        <v>45874.666666666599</v>
      </c>
      <c r="J424" s="369">
        <f ca="1">IFERROR(__xludf.DUMMYFUNCTION("""COMPUTED_VALUE"""),45905.6666666666)</f>
        <v>45905.666666666599</v>
      </c>
      <c r="K424" s="369">
        <f ca="1">IFERROR(__xludf.DUMMYFUNCTION("""COMPUTED_VALUE"""),45996.875)</f>
        <v>45996.875</v>
      </c>
      <c r="L424" s="360" t="str">
        <f ca="1">IFERROR(__xludf.DUMMYFUNCTION("""COMPUTED_VALUE"""),"12/05/2025 19.00")</f>
        <v>12/05/2025 19.00</v>
      </c>
      <c r="M424" s="360" t="str">
        <f ca="1">IFERROR(__xludf.DUMMYFUNCTION("""COMPUTED_VALUE"""),"13/05/2025 MORNING")</f>
        <v>13/05/2025 MORNING</v>
      </c>
    </row>
    <row r="425" spans="1:13" ht="18.75">
      <c r="A425" s="360"/>
      <c r="B425" s="360"/>
      <c r="C425" s="361" t="str">
        <f ca="1">IFERROR(__xludf.DUMMYFUNCTION("""COMPUTED_VALUE"""),"THLCB")</f>
        <v>THLCB</v>
      </c>
      <c r="D425" s="366">
        <f ca="1">IFERROR(__xludf.DUMMYFUNCTION("""COMPUTED_VALUE"""),45996.25)</f>
        <v>45996.25</v>
      </c>
      <c r="E425" s="360"/>
      <c r="F425" s="366">
        <f ca="1">IFERROR(__xludf.DUMMYFUNCTION("""COMPUTED_VALUE"""),45813.5416666666)</f>
        <v>45813.541666666599</v>
      </c>
      <c r="G425" s="366">
        <f ca="1">IFERROR(__xludf.DUMMYFUNCTION("""COMPUTED_VALUE"""),45843.625)</f>
        <v>45843.625</v>
      </c>
      <c r="H425" s="366">
        <f ca="1">IFERROR(__xludf.DUMMYFUNCTION("""COMPUTED_VALUE"""),45843.5416666666)</f>
        <v>45843.541666666599</v>
      </c>
      <c r="I425" s="369">
        <f ca="1">IFERROR(__xludf.DUMMYFUNCTION("""COMPUTED_VALUE"""),45874.6666666666)</f>
        <v>45874.666666666599</v>
      </c>
      <c r="J425" s="369">
        <f ca="1">IFERROR(__xludf.DUMMYFUNCTION("""COMPUTED_VALUE"""),45905.6666666666)</f>
        <v>45905.666666666599</v>
      </c>
      <c r="K425" s="362" t="str">
        <f ca="1">IFERROR(__xludf.DUMMYFUNCTION("""COMPUTED_VALUE"""),"13/05/2025 21:00")</f>
        <v>13/05/2025 21:00</v>
      </c>
      <c r="L425" s="360" t="str">
        <f ca="1">IFERROR(__xludf.DUMMYFUNCTION("""COMPUTED_VALUE"""),"14/05/2025  01:20")</f>
        <v>14/05/2025  01:20</v>
      </c>
      <c r="M425" s="360" t="str">
        <f ca="1">IFERROR(__xludf.DUMMYFUNCTION("""COMPUTED_VALUE"""),"14/05/2025 NOON")</f>
        <v>14/05/2025 NOON</v>
      </c>
    </row>
    <row r="426" spans="1:13" ht="18.75">
      <c r="A426" s="360" t="str">
        <f ca="1">IFERROR(__xludf.DUMMYFUNCTION("""COMPUTED_VALUE"""),"TRX")</f>
        <v>TRX</v>
      </c>
      <c r="B426" s="360" t="str">
        <f ca="1">IFERROR(__xludf.DUMMYFUNCTION("""COMPUTED_VALUE"""),"LITTLE WARRIOR V.017N")</f>
        <v>LITTLE WARRIOR V.017N</v>
      </c>
      <c r="C426" s="361" t="str">
        <f ca="1">IFERROR(__xludf.DUMMYFUNCTION("""COMPUTED_VALUE"""),"THBKK")</f>
        <v>THBKK</v>
      </c>
      <c r="D426" s="360" t="str">
        <f ca="1">IFERROR(__xludf.DUMMYFUNCTION("""COMPUTED_VALUE"""),"13/05/2025 19:30")</f>
        <v>13/05/2025 19:30</v>
      </c>
      <c r="E426" s="360" t="str">
        <f ca="1">IFERROR(__xludf.DUMMYFUNCTION("""COMPUTED_VALUE"""),"32.95 06/05/2025")</f>
        <v>32.95 06/05/2025</v>
      </c>
      <c r="F426" s="366">
        <f ca="1">IFERROR(__xludf.DUMMYFUNCTION("""COMPUTED_VALUE"""),45874.5416666666)</f>
        <v>45874.541666666599</v>
      </c>
      <c r="G426" s="366">
        <f ca="1">IFERROR(__xludf.DUMMYFUNCTION("""COMPUTED_VALUE"""),45905.625)</f>
        <v>45905.625</v>
      </c>
      <c r="H426" s="366">
        <f ca="1">IFERROR(__xludf.DUMMYFUNCTION("""COMPUTED_VALUE"""),45905.5416666666)</f>
        <v>45905.541666666599</v>
      </c>
      <c r="I426" s="369">
        <f ca="1">IFERROR(__xludf.DUMMYFUNCTION("""COMPUTED_VALUE"""),45935.6666666666)</f>
        <v>45935.666666666599</v>
      </c>
      <c r="J426" s="362" t="str">
        <f ca="1">IFERROR(__xludf.DUMMYFUNCTION("""COMPUTED_VALUE"""),"13/05/2025 16:00")</f>
        <v>13/05/2025 16:00</v>
      </c>
      <c r="K426" s="362" t="str">
        <f ca="1">IFERROR(__xludf.DUMMYFUNCTION("""COMPUTED_VALUE"""),"14/05/2025 16:00")</f>
        <v>14/05/2025 16:00</v>
      </c>
      <c r="L426" s="360" t="str">
        <f ca="1">IFERROR(__xludf.DUMMYFUNCTION("""COMPUTED_VALUE"""),"14/05/2025  15:00")</f>
        <v>14/05/2025  15:00</v>
      </c>
      <c r="M426" s="360" t="str">
        <f ca="1">IFERROR(__xludf.DUMMYFUNCTION("""COMPUTED_VALUE"""),"15/05/2025 MORNING")</f>
        <v>15/05/2025 MORNING</v>
      </c>
    </row>
    <row r="427" spans="1:13" ht="18.75">
      <c r="A427" s="360"/>
      <c r="B427" s="360"/>
      <c r="C427" s="361" t="str">
        <f ca="1">IFERROR(__xludf.DUMMYFUNCTION("""COMPUTED_VALUE"""),"THLCB")</f>
        <v>THLCB</v>
      </c>
      <c r="D427" s="360" t="str">
        <f ca="1">IFERROR(__xludf.DUMMYFUNCTION("""COMPUTED_VALUE"""),"15/05/2025 09:00")</f>
        <v>15/05/2025 09:00</v>
      </c>
      <c r="E427" s="360"/>
      <c r="F427" s="366">
        <f ca="1">IFERROR(__xludf.DUMMYFUNCTION("""COMPUTED_VALUE"""),45905.5416666666)</f>
        <v>45905.541666666599</v>
      </c>
      <c r="G427" s="366">
        <f ca="1">IFERROR(__xludf.DUMMYFUNCTION("""COMPUTED_VALUE"""),45935.625)</f>
        <v>45935.625</v>
      </c>
      <c r="H427" s="366">
        <f ca="1">IFERROR(__xludf.DUMMYFUNCTION("""COMPUTED_VALUE"""),45935.5416666666)</f>
        <v>45935.541666666599</v>
      </c>
      <c r="I427" s="362" t="str">
        <f ca="1">IFERROR(__xludf.DUMMYFUNCTION("""COMPUTED_VALUE"""),"13/05/2025 16:00")</f>
        <v>13/05/2025 16:00</v>
      </c>
      <c r="J427" s="362" t="str">
        <f ca="1">IFERROR(__xludf.DUMMYFUNCTION("""COMPUTED_VALUE"""),"14/05/2025 16:00")</f>
        <v>14/05/2025 16:00</v>
      </c>
      <c r="K427" s="362" t="str">
        <f ca="1">IFERROR(__xludf.DUMMYFUNCTION("""COMPUTED_VALUE"""),"15/05/2025 19:00")</f>
        <v>15/05/2025 19:00</v>
      </c>
      <c r="L427" s="360" t="str">
        <f ca="1">IFERROR(__xludf.DUMMYFUNCTION("""COMPUTED_VALUE"""),"15/05/2025  22:06")</f>
        <v>15/05/2025  22:06</v>
      </c>
      <c r="M427" s="360" t="str">
        <f ca="1">IFERROR(__xludf.DUMMYFUNCTION("""COMPUTED_VALUE"""),"16/05/2025 MORNING")</f>
        <v>16/05/2025 MORNING</v>
      </c>
    </row>
    <row r="428" spans="1:13" ht="18.75">
      <c r="A428" s="360" t="str">
        <f ca="1">IFERROR(__xludf.DUMMYFUNCTION("""COMPUTED_VALUE"""),"CHT")</f>
        <v>CHT</v>
      </c>
      <c r="B428" s="360" t="str">
        <f ca="1">IFERROR(__xludf.DUMMYFUNCTION("""COMPUTED_VALUE"""),"SAWASDEE RIGEL V.2505N")</f>
        <v>SAWASDEE RIGEL V.2505N</v>
      </c>
      <c r="C428" s="361" t="str">
        <f ca="1">IFERROR(__xludf.DUMMYFUNCTION("""COMPUTED_VALUE"""),"THBKK")</f>
        <v>THBKK</v>
      </c>
      <c r="D428" s="366">
        <f ca="1">IFERROR(__xludf.DUMMYFUNCTION("""COMPUTED_VALUE"""),45843.3333333333)</f>
        <v>45843.333333333299</v>
      </c>
      <c r="E428" s="360" t="str">
        <f ca="1">IFERROR(__xludf.DUMMYFUNCTION("""COMPUTED_VALUE"""),"32.95 06/05/2025")</f>
        <v>32.95 06/05/2025</v>
      </c>
      <c r="F428" s="366">
        <f ca="1">IFERROR(__xludf.DUMMYFUNCTION("""COMPUTED_VALUE"""),45905.5416666666)</f>
        <v>45905.541666666599</v>
      </c>
      <c r="G428" s="366">
        <f ca="1">IFERROR(__xludf.DUMMYFUNCTION("""COMPUTED_VALUE"""),45935.625)</f>
        <v>45935.625</v>
      </c>
      <c r="H428" s="366">
        <f ca="1">IFERROR(__xludf.DUMMYFUNCTION("""COMPUTED_VALUE"""),45935.5416666666)</f>
        <v>45935.541666666599</v>
      </c>
      <c r="I428" s="362" t="str">
        <f ca="1">IFERROR(__xludf.DUMMYFUNCTION("""COMPUTED_VALUE"""),"13/05/2025 16:00")</f>
        <v>13/05/2025 16:00</v>
      </c>
      <c r="J428" s="362" t="str">
        <f ca="1">IFERROR(__xludf.DUMMYFUNCTION("""COMPUTED_VALUE"""),"14/05/2025 16:00")</f>
        <v>14/05/2025 16:00</v>
      </c>
      <c r="K428" s="362" t="str">
        <f ca="1">IFERROR(__xludf.DUMMYFUNCTION("""COMPUTED_VALUE"""),"15/05/2025 16:00")</f>
        <v>15/05/2025 16:00</v>
      </c>
      <c r="L428" s="360" t="str">
        <f ca="1">IFERROR(__xludf.DUMMYFUNCTION("""COMPUTED_VALUE"""),"15/05/2025  16:00")</f>
        <v>15/05/2025  16:00</v>
      </c>
      <c r="M428" s="360" t="str">
        <f ca="1">IFERROR(__xludf.DUMMYFUNCTION("""COMPUTED_VALUE"""),"16/05/2025 MORNING")</f>
        <v>16/05/2025 MORNING</v>
      </c>
    </row>
    <row r="429" spans="1:13" ht="18.75">
      <c r="A429" s="360"/>
      <c r="B429" s="360"/>
      <c r="C429" s="361" t="str">
        <f ca="1">IFERROR(__xludf.DUMMYFUNCTION("""COMPUTED_VALUE"""),"THLCB")</f>
        <v>THLCB</v>
      </c>
      <c r="D429" s="366">
        <f ca="1">IFERROR(__xludf.DUMMYFUNCTION("""COMPUTED_VALUE"""),45874.1666666666)</f>
        <v>45874.166666666599</v>
      </c>
      <c r="E429" s="360"/>
      <c r="F429" s="360" t="str">
        <f ca="1">IFERROR(__xludf.DUMMYFUNCTION("""COMPUTED_VALUE"""),"13/05/2025 13:00")</f>
        <v>13/05/2025 13:00</v>
      </c>
      <c r="G429" s="360" t="str">
        <f ca="1">IFERROR(__xludf.DUMMYFUNCTION("""COMPUTED_VALUE"""),"14/05/2025 15:00")</f>
        <v>14/05/2025 15:00</v>
      </c>
      <c r="H429" s="360" t="str">
        <f ca="1">IFERROR(__xludf.DUMMYFUNCTION("""COMPUTED_VALUE"""),"14/05/2025 13:00")</f>
        <v>14/05/2025 13:00</v>
      </c>
      <c r="I429" s="362" t="str">
        <f ca="1">IFERROR(__xludf.DUMMYFUNCTION("""COMPUTED_VALUE"""),"15/05/2025 16:00")</f>
        <v>15/05/2025 16:00</v>
      </c>
      <c r="J429" s="362" t="str">
        <f ca="1">IFERROR(__xludf.DUMMYFUNCTION("""COMPUTED_VALUE"""),"16/05/2025 16:00")</f>
        <v>16/05/2025 16:00</v>
      </c>
      <c r="K429" s="362" t="str">
        <f ca="1">IFERROR(__xludf.DUMMYFUNCTION("""COMPUTED_VALUE"""),"19/05/2025 11:00")</f>
        <v>19/05/2025 11:00</v>
      </c>
      <c r="L429" s="360" t="str">
        <f ca="1">IFERROR(__xludf.DUMMYFUNCTION("""COMPUTED_VALUE"""),"19/05/2025 11:00")</f>
        <v>19/05/2025 11:00</v>
      </c>
      <c r="M429" s="360" t="str">
        <f ca="1">IFERROR(__xludf.DUMMYFUNCTION("""COMPUTED_VALUE"""),"19/05/2025 NOON")</f>
        <v>19/05/2025 NOON</v>
      </c>
    </row>
    <row r="430" spans="1:13" ht="18.75">
      <c r="A430" s="360" t="str">
        <f ca="1">IFERROR(__xludf.DUMMYFUNCTION("""COMPUTED_VALUE"""),"NSP")</f>
        <v>NSP</v>
      </c>
      <c r="B430" s="360" t="str">
        <f ca="1">IFERROR(__xludf.DUMMYFUNCTION("""COMPUTED_VALUE"""),"TS PENANG V.25008N")</f>
        <v>TS PENANG V.25008N</v>
      </c>
      <c r="C430" s="361" t="str">
        <f ca="1">IFERROR(__xludf.DUMMYFUNCTION("""COMPUTED_VALUE"""),"THLCB")</f>
        <v>THLCB</v>
      </c>
      <c r="D430" s="366">
        <f ca="1">IFERROR(__xludf.DUMMYFUNCTION("""COMPUTED_VALUE"""),45874.1666666666)</f>
        <v>45874.166666666599</v>
      </c>
      <c r="E430" s="360" t="str">
        <f ca="1">IFERROR(__xludf.DUMMYFUNCTION("""COMPUTED_VALUE"""),"33.33 02/05/2025")</f>
        <v>33.33 02/05/2025</v>
      </c>
      <c r="F430" s="366">
        <f ca="1">IFERROR(__xludf.DUMMYFUNCTION("""COMPUTED_VALUE"""),45813.5416666666)</f>
        <v>45813.541666666599</v>
      </c>
      <c r="G430" s="366">
        <f ca="1">IFERROR(__xludf.DUMMYFUNCTION("""COMPUTED_VALUE"""),45843.625)</f>
        <v>45843.625</v>
      </c>
      <c r="H430" s="366">
        <f ca="1">IFERROR(__xludf.DUMMYFUNCTION("""COMPUTED_VALUE"""),45843.5416666666)</f>
        <v>45843.541666666599</v>
      </c>
      <c r="I430" s="369">
        <f ca="1">IFERROR(__xludf.DUMMYFUNCTION("""COMPUTED_VALUE"""),45874.6666666666)</f>
        <v>45874.666666666599</v>
      </c>
      <c r="J430" s="369">
        <f ca="1">IFERROR(__xludf.DUMMYFUNCTION("""COMPUTED_VALUE"""),45905.6666666666)</f>
        <v>45905.666666666599</v>
      </c>
      <c r="K430" s="369">
        <f ca="1">IFERROR(__xludf.DUMMYFUNCTION("""COMPUTED_VALUE"""),45966.5416666666)</f>
        <v>45966.541666666599</v>
      </c>
      <c r="L430" s="373">
        <f ca="1">IFERROR(__xludf.DUMMYFUNCTION("""COMPUTED_VALUE"""),45966.6756944444)</f>
        <v>45966.675694444399</v>
      </c>
      <c r="M430" s="360" t="str">
        <f ca="1">IFERROR(__xludf.DUMMYFUNCTION("""COMPUTED_VALUE"""),"13/05/2025 MORNING")</f>
        <v>13/05/2025 MORNING</v>
      </c>
    </row>
    <row r="431" spans="1:13" ht="18.75">
      <c r="A431" s="360"/>
      <c r="B431" s="360"/>
      <c r="C431" s="361"/>
      <c r="D431" s="360"/>
      <c r="E431" s="360"/>
      <c r="F431" s="360"/>
      <c r="G431" s="360"/>
      <c r="H431" s="360"/>
      <c r="I431" s="362"/>
      <c r="J431" s="362"/>
      <c r="K431" s="362"/>
      <c r="L431" s="360"/>
      <c r="M431" s="360"/>
    </row>
    <row r="432" spans="1:13" ht="18.75">
      <c r="A432" s="360"/>
      <c r="B432" s="360" t="str">
        <f ca="1">IFERROR(__xludf.DUMMYFUNCTION("""COMPUTED_VALUE"""),"WEEK 19/2025")</f>
        <v>WEEK 19/2025</v>
      </c>
      <c r="C432" s="361" t="str">
        <f ca="1">IFERROR(__xludf.DUMMYFUNCTION("""COMPUTED_VALUE"""),"05 MAY 2025 Holidays Coronation Day")</f>
        <v>05 MAY 2025 Holidays Coronation Day</v>
      </c>
      <c r="D432" s="360"/>
      <c r="E432" s="360"/>
      <c r="F432" s="360"/>
      <c r="G432" s="360"/>
      <c r="H432" s="360"/>
      <c r="I432" s="362"/>
      <c r="J432" s="362"/>
      <c r="K432" s="362"/>
      <c r="L432" s="360"/>
      <c r="M432" s="360"/>
    </row>
    <row r="433" spans="1:13" ht="18.75">
      <c r="A433" s="360"/>
      <c r="B433" s="360"/>
      <c r="C433" s="361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433" s="360"/>
      <c r="E433" s="360"/>
      <c r="F433" s="360"/>
      <c r="G433" s="360"/>
      <c r="H433" s="360"/>
      <c r="I433" s="362"/>
      <c r="J433" s="362"/>
      <c r="K433" s="362"/>
      <c r="L433" s="360"/>
      <c r="M433" s="360"/>
    </row>
    <row r="434" spans="1:13" ht="18.75">
      <c r="A434" s="360" t="str">
        <f ca="1">IFERROR(__xludf.DUMMYFUNCTION("""COMPUTED_VALUE"""),"SERVICE")</f>
        <v>SERVICE</v>
      </c>
      <c r="B434" s="360" t="str">
        <f ca="1">IFERROR(__xludf.DUMMYFUNCTION("""COMPUTED_VALUE"""),"VESSEL NAME")</f>
        <v>VESSEL NAME</v>
      </c>
      <c r="C434" s="361" t="str">
        <f ca="1">IFERROR(__xludf.DUMMYFUNCTION("""COMPUTED_VALUE"""),"PORT")</f>
        <v>PORT</v>
      </c>
      <c r="D434" s="360" t="str">
        <f ca="1">IFERROR(__xludf.DUMMYFUNCTION("""COMPUTED_VALUE"""),"PERFOMA ETD")</f>
        <v>PERFOMA ETD</v>
      </c>
      <c r="E434" s="360" t="str">
        <f ca="1">IFERROR(__xludf.DUMMYFUNCTION("""COMPUTED_VALUE"""),"EX.RATE/DATE/")</f>
        <v>EX.RATE/DATE/</v>
      </c>
      <c r="F434" s="360" t="str">
        <f ca="1">IFERROR(__xludf.DUMMYFUNCTION("""COMPUTED_VALUE"""),"SI CUT OFF USA")</f>
        <v>SI CUT OFF USA</v>
      </c>
      <c r="G434" s="360" t="str">
        <f ca="1">IFERROR(__xludf.DUMMYFUNCTION("""COMPUTED_VALUE"""),"SI CUT OFF")</f>
        <v>SI CUT OFF</v>
      </c>
      <c r="H434" s="360" t="str">
        <f ca="1">IFERROR(__xludf.DUMMYFUNCTION("""COMPUTED_VALUE"""),"B/L CFM USA")</f>
        <v>B/L CFM USA</v>
      </c>
      <c r="I434" s="362" t="str">
        <f ca="1">IFERROR(__xludf.DUMMYFUNCTION("""COMPUTED_VALUE"""),"B/L CFM CHINA,JP,VN")</f>
        <v>B/L CFM CHINA,JP,VN</v>
      </c>
      <c r="J434" s="362" t="str">
        <f ca="1">IFERROR(__xludf.DUMMYFUNCTION("""COMPUTED_VALUE"""),"B/L CONFIRM")</f>
        <v>B/L CONFIRM</v>
      </c>
      <c r="K434" s="362" t="str">
        <f ca="1">IFERROR(__xludf.DUMMYFUNCTION("""COMPUTED_VALUE"""),"ETD")</f>
        <v>ETD</v>
      </c>
      <c r="L434" s="360" t="str">
        <f ca="1">IFERROR(__xludf.DUMMYFUNCTION("""COMPUTED_VALUE"""),"ATD")</f>
        <v>ATD</v>
      </c>
      <c r="M434" s="360" t="str">
        <f ca="1">IFERROR(__xludf.DUMMYFUNCTION("""COMPUTED_VALUE"""),"B/L ISSUED DATE")</f>
        <v>B/L ISSUED DATE</v>
      </c>
    </row>
    <row r="435" spans="1:13" ht="18.75">
      <c r="A435" s="360"/>
      <c r="B435" s="360"/>
      <c r="C435" s="361"/>
      <c r="D435" s="360"/>
      <c r="E435" s="360" t="str">
        <f ca="1">IFERROR(__xludf.DUMMYFUNCTION("""COMPUTED_VALUE"""),"BANGKOK BANK")</f>
        <v>BANGKOK BANK</v>
      </c>
      <c r="F435" s="360" t="str">
        <f ca="1">IFERROR(__xludf.DUMMYFUNCTION("""COMPUTED_VALUE"""),"4 days before ETD")</f>
        <v>4 days before ETD</v>
      </c>
      <c r="G435" s="360"/>
      <c r="H435" s="360" t="str">
        <f ca="1">IFERROR(__xludf.DUMMYFUNCTION("""COMPUTED_VALUE"""),"3 days before ETD")</f>
        <v>3 days before ETD</v>
      </c>
      <c r="I435" s="362" t="str">
        <f ca="1">IFERROR(__xludf.DUMMYFUNCTION("""COMPUTED_VALUE"""),"Direct port CUT OFF")</f>
        <v>Direct port CUT OFF</v>
      </c>
      <c r="J435" s="362" t="str">
        <f ca="1">IFERROR(__xludf.DUMMYFUNCTION("""COMPUTED_VALUE"""),"Orther port CUT OFF")</f>
        <v>Orther port CUT OFF</v>
      </c>
      <c r="K435" s="362" t="str">
        <f ca="1">IFERROR(__xludf.DUMMYFUNCTION("""COMPUTED_VALUE"""),"ON BOARD DATE")</f>
        <v>ON BOARD DATE</v>
      </c>
      <c r="L435" s="360" t="str">
        <f ca="1">IFERROR(__xludf.DUMMYFUNCTION("""COMPUTED_VALUE"""),"วันเรือออกจริง")</f>
        <v>วันเรือออกจริง</v>
      </c>
      <c r="M435" s="360" t="str">
        <f ca="1">IFERROR(__xludf.DUMMYFUNCTION("""COMPUTED_VALUE"""),"วันปล่อยบีแอล")</f>
        <v>วันปล่อยบีแอล</v>
      </c>
    </row>
    <row r="436" spans="1:13" ht="18.75">
      <c r="A436" s="360"/>
      <c r="B436" s="360"/>
      <c r="C436" s="361"/>
      <c r="D436" s="360"/>
      <c r="E436" s="360"/>
      <c r="F436" s="360"/>
      <c r="G436" s="360" t="str">
        <f ca="1">IFERROR(__xludf.DUMMYFUNCTION("""COMPUTED_VALUE"""),"3 days before ETD")</f>
        <v>3 days before ETD</v>
      </c>
      <c r="H436" s="360"/>
      <c r="I436" s="362" t="str">
        <f ca="1">IFERROR(__xludf.DUMMYFUNCTION("""COMPUTED_VALUE"""),"2 days before ETD")</f>
        <v>2 days before ETD</v>
      </c>
      <c r="J436" s="362" t="str">
        <f ca="1">IFERROR(__xludf.DUMMYFUNCTION("""COMPUTED_VALUE"""),"1 days before ETD")</f>
        <v>1 days before ETD</v>
      </c>
      <c r="K436" s="362" t="str">
        <f ca="1">IFERROR(__xludf.DUMMYFUNCTION("""COMPUTED_VALUE"""),"SHOW ON B/L")</f>
        <v>SHOW ON B/L</v>
      </c>
      <c r="L436" s="360"/>
      <c r="M436" s="360"/>
    </row>
    <row r="437" spans="1:13" ht="18.75">
      <c r="A437" s="360" t="str">
        <f ca="1">IFERROR(__xludf.DUMMYFUNCTION("""COMPUTED_VALUE"""),"JHTS")</f>
        <v>JHTS</v>
      </c>
      <c r="B437" s="360" t="str">
        <f ca="1">IFERROR(__xludf.DUMMYFUNCTION("""COMPUTED_VALUE"""),"TS KWANGYANG V.25004N")</f>
        <v>TS KWANGYANG V.25004N</v>
      </c>
      <c r="C437" s="361" t="str">
        <f ca="1">IFERROR(__xludf.DUMMYFUNCTION("""COMPUTED_VALUE"""),"THBKK")</f>
        <v>THBKK</v>
      </c>
      <c r="D437" s="366">
        <f ca="1">IFERROR(__xludf.DUMMYFUNCTION("""COMPUTED_VALUE"""),45752.25)</f>
        <v>45752.25</v>
      </c>
      <c r="E437" s="360" t="str">
        <f ca="1">IFERROR(__xludf.DUMMYFUNCTION("""COMPUTED_VALUE"""),"33.78 25/04/2025")</f>
        <v>33.78 25/04/2025</v>
      </c>
      <c r="F437" s="366">
        <f ca="1">IFERROR(__xludf.DUMMYFUNCTION("""COMPUTED_VALUE"""),45693.5416666666)</f>
        <v>45693.541666666599</v>
      </c>
      <c r="G437" s="366">
        <f ca="1">IFERROR(__xludf.DUMMYFUNCTION("""COMPUTED_VALUE"""),45693.625)</f>
        <v>45693.625</v>
      </c>
      <c r="H437" s="366">
        <f ca="1">IFERROR(__xludf.DUMMYFUNCTION("""COMPUTED_VALUE"""),45693.5416666666)</f>
        <v>45693.541666666599</v>
      </c>
      <c r="I437" s="369">
        <f ca="1">IFERROR(__xludf.DUMMYFUNCTION("""COMPUTED_VALUE"""),45693.6666666666)</f>
        <v>45693.666666666599</v>
      </c>
      <c r="J437" s="369">
        <f ca="1">IFERROR(__xludf.DUMMYFUNCTION("""COMPUTED_VALUE"""),45813.6666666666)</f>
        <v>45813.666666666599</v>
      </c>
      <c r="K437" s="370">
        <f ca="1">IFERROR(__xludf.DUMMYFUNCTION("""COMPUTED_VALUE"""),45843.125)</f>
        <v>45843.125</v>
      </c>
      <c r="L437" s="373">
        <f ca="1">IFERROR(__xludf.DUMMYFUNCTION("""COMPUTED_VALUE"""),45843.125)</f>
        <v>45843.125</v>
      </c>
      <c r="M437" s="360" t="str">
        <f ca="1">IFERROR(__xludf.DUMMYFUNCTION("""COMPUTED_VALUE"""),"07/05/2025 NOON")</f>
        <v>07/05/2025 NOON</v>
      </c>
    </row>
    <row r="438" spans="1:13" ht="18.75">
      <c r="A438" s="360"/>
      <c r="B438" s="360"/>
      <c r="C438" s="361" t="str">
        <f ca="1">IFERROR(__xludf.DUMMYFUNCTION("""COMPUTED_VALUE"""),"THLCB")</f>
        <v>THLCB</v>
      </c>
      <c r="D438" s="366">
        <f ca="1">IFERROR(__xludf.DUMMYFUNCTION("""COMPUTED_VALUE"""),45782.25)</f>
        <v>45782.25</v>
      </c>
      <c r="E438" s="360"/>
      <c r="F438" s="366">
        <f ca="1">IFERROR(__xludf.DUMMYFUNCTION("""COMPUTED_VALUE"""),45693.5416666666)</f>
        <v>45693.541666666599</v>
      </c>
      <c r="G438" s="366">
        <f ca="1">IFERROR(__xludf.DUMMYFUNCTION("""COMPUTED_VALUE"""),45693.625)</f>
        <v>45693.625</v>
      </c>
      <c r="H438" s="366">
        <f ca="1">IFERROR(__xludf.DUMMYFUNCTION("""COMPUTED_VALUE"""),45693.5416666666)</f>
        <v>45693.541666666599</v>
      </c>
      <c r="I438" s="369">
        <f ca="1">IFERROR(__xludf.DUMMYFUNCTION("""COMPUTED_VALUE"""),45693.6666666666)</f>
        <v>45693.666666666599</v>
      </c>
      <c r="J438" s="369">
        <f ca="1">IFERROR(__xludf.DUMMYFUNCTION("""COMPUTED_VALUE"""),45813.6666666666)</f>
        <v>45813.666666666599</v>
      </c>
      <c r="K438" s="370">
        <f ca="1">IFERROR(__xludf.DUMMYFUNCTION("""COMPUTED_VALUE"""),45843.9166666666)</f>
        <v>45843.916666666599</v>
      </c>
      <c r="L438" s="373">
        <f ca="1">IFERROR(__xludf.DUMMYFUNCTION("""COMPUTED_VALUE"""),45874.0354166666)</f>
        <v>45874.0354166666</v>
      </c>
      <c r="M438" s="360" t="str">
        <f ca="1">IFERROR(__xludf.DUMMYFUNCTION("""COMPUTED_VALUE"""),"08/05/2025 NOON")</f>
        <v>08/05/2025 NOON</v>
      </c>
    </row>
    <row r="439" spans="1:13" ht="18.75">
      <c r="A439" s="360" t="str">
        <f ca="1">IFERROR(__xludf.DUMMYFUNCTION("""COMPUTED_VALUE"""),"TRX")</f>
        <v>TRX</v>
      </c>
      <c r="B439" s="360" t="str">
        <f ca="1">IFERROR(__xludf.DUMMYFUNCTION("""COMPUTED_VALUE"""),"TS NAGOYA V.25007N")</f>
        <v>TS NAGOYA V.25007N</v>
      </c>
      <c r="C439" s="361" t="str">
        <f ca="1">IFERROR(__xludf.DUMMYFUNCTION("""COMPUTED_VALUE"""),"THBKK")</f>
        <v>THBKK</v>
      </c>
      <c r="D439" s="366">
        <f ca="1">IFERROR(__xludf.DUMMYFUNCTION("""COMPUTED_VALUE"""),45813.8125)</f>
        <v>45813.8125</v>
      </c>
      <c r="E439" s="360" t="str">
        <f ca="1">IFERROR(__xludf.DUMMYFUNCTION("""COMPUTED_VALUE"""),"33.57 29/04/2025")</f>
        <v>33.57 29/04/2025</v>
      </c>
      <c r="F439" s="366">
        <f ca="1">IFERROR(__xludf.DUMMYFUNCTION("""COMPUTED_VALUE"""),45693.5416666666)</f>
        <v>45693.541666666599</v>
      </c>
      <c r="G439" s="366">
        <f ca="1">IFERROR(__xludf.DUMMYFUNCTION("""COMPUTED_VALUE"""),45693.625)</f>
        <v>45693.625</v>
      </c>
      <c r="H439" s="366">
        <f ca="1">IFERROR(__xludf.DUMMYFUNCTION("""COMPUTED_VALUE"""),45693.5416666666)</f>
        <v>45693.541666666599</v>
      </c>
      <c r="I439" s="369">
        <f ca="1">IFERROR(__xludf.DUMMYFUNCTION("""COMPUTED_VALUE"""),45813.6666666666)</f>
        <v>45813.666666666599</v>
      </c>
      <c r="J439" s="369">
        <f ca="1">IFERROR(__xludf.DUMMYFUNCTION("""COMPUTED_VALUE"""),45843.6666666666)</f>
        <v>45843.666666666599</v>
      </c>
      <c r="K439" s="370">
        <f ca="1">IFERROR(__xludf.DUMMYFUNCTION("""COMPUTED_VALUE"""),45874.0833333333)</f>
        <v>45874.083333333299</v>
      </c>
      <c r="L439" s="373">
        <f ca="1">IFERROR(__xludf.DUMMYFUNCTION("""COMPUTED_VALUE"""),45874.0833333333)</f>
        <v>45874.083333333299</v>
      </c>
      <c r="M439" s="360" t="str">
        <f ca="1">IFERROR(__xludf.DUMMYFUNCTION("""COMPUTED_VALUE"""),"08/05/2025 NOON")</f>
        <v>08/05/2025 NOON</v>
      </c>
    </row>
    <row r="440" spans="1:13" ht="18.75">
      <c r="A440" s="360"/>
      <c r="B440" s="360"/>
      <c r="C440" s="361" t="str">
        <f ca="1">IFERROR(__xludf.DUMMYFUNCTION("""COMPUTED_VALUE"""),"THLCB")</f>
        <v>THLCB</v>
      </c>
      <c r="D440" s="366">
        <f ca="1">IFERROR(__xludf.DUMMYFUNCTION("""COMPUTED_VALUE"""),45843.375)</f>
        <v>45843.375</v>
      </c>
      <c r="E440" s="360"/>
      <c r="F440" s="366">
        <f ca="1">IFERROR(__xludf.DUMMYFUNCTION("""COMPUTED_VALUE"""),45693.5416666666)</f>
        <v>45693.541666666599</v>
      </c>
      <c r="G440" s="366">
        <f ca="1">IFERROR(__xludf.DUMMYFUNCTION("""COMPUTED_VALUE"""),45693.625)</f>
        <v>45693.625</v>
      </c>
      <c r="H440" s="366">
        <f ca="1">IFERROR(__xludf.DUMMYFUNCTION("""COMPUTED_VALUE"""),45693.5416666666)</f>
        <v>45693.541666666599</v>
      </c>
      <c r="I440" s="369">
        <f ca="1">IFERROR(__xludf.DUMMYFUNCTION("""COMPUTED_VALUE"""),45813.6666666666)</f>
        <v>45813.666666666599</v>
      </c>
      <c r="J440" s="369">
        <f ca="1">IFERROR(__xludf.DUMMYFUNCTION("""COMPUTED_VALUE"""),45843.6666666666)</f>
        <v>45843.666666666599</v>
      </c>
      <c r="K440" s="370">
        <f ca="1">IFERROR(__xludf.DUMMYFUNCTION("""COMPUTED_VALUE"""),45905.0833333333)</f>
        <v>45905.083333333299</v>
      </c>
      <c r="L440" s="373">
        <f ca="1">IFERROR(__xludf.DUMMYFUNCTION("""COMPUTED_VALUE"""),45905.0416666666)</f>
        <v>45905.041666666599</v>
      </c>
      <c r="M440" s="360" t="str">
        <f ca="1">IFERROR(__xludf.DUMMYFUNCTION("""COMPUTED_VALUE"""),"09/05/2025 NOON")</f>
        <v>09/05/2025 NOON</v>
      </c>
    </row>
    <row r="441" spans="1:13" ht="18.75">
      <c r="A441" s="360" t="str">
        <f ca="1">IFERROR(__xludf.DUMMYFUNCTION("""COMPUTED_VALUE"""),"CVT")</f>
        <v>CVT</v>
      </c>
      <c r="B441" s="360" t="str">
        <f ca="1">IFERROR(__xludf.DUMMYFUNCTION("""COMPUTED_VALUE"""),"TS QINGDAO V.25006N")</f>
        <v>TS QINGDAO V.25006N</v>
      </c>
      <c r="C441" s="361" t="str">
        <f ca="1">IFERROR(__xludf.DUMMYFUNCTION("""COMPUTED_VALUE"""),"THBKK")</f>
        <v>THBKK</v>
      </c>
      <c r="D441" s="360" t="str">
        <f ca="1">IFERROR(__xludf.DUMMYFUNCTION("""COMPUTED_VALUE"""),"24/04/2025 08:00")</f>
        <v>24/04/2025 08:00</v>
      </c>
      <c r="E441" s="360" t="str">
        <f ca="1">IFERROR(__xludf.DUMMYFUNCTION("""COMPUTED_VALUE"""),"33.78 25/04/2025")</f>
        <v>33.78 25/04/2025</v>
      </c>
      <c r="F441" s="360" t="str">
        <f ca="1">IFERROR(__xludf.DUMMYFUNCTION("""COMPUTED_VALUE"""),"29/04/2025 13:00")</f>
        <v>29/04/2025 13:00</v>
      </c>
      <c r="G441" s="360" t="str">
        <f ca="1">IFERROR(__xludf.DUMMYFUNCTION("""COMPUTED_VALUE"""),"30/04/2025 15:00")</f>
        <v>30/04/2025 15:00</v>
      </c>
      <c r="H441" s="360" t="str">
        <f ca="1">IFERROR(__xludf.DUMMYFUNCTION("""COMPUTED_VALUE"""),"30/04/2025 13:00")</f>
        <v>30/04/2025 13:00</v>
      </c>
      <c r="I441" s="369">
        <f ca="1">IFERROR(__xludf.DUMMYFUNCTION("""COMPUTED_VALUE"""),45662.625)</f>
        <v>45662.625</v>
      </c>
      <c r="J441" s="369">
        <f ca="1">IFERROR(__xludf.DUMMYFUNCTION("""COMPUTED_VALUE"""),45693.6666666666)</f>
        <v>45693.666666666599</v>
      </c>
      <c r="K441" s="370">
        <f ca="1">IFERROR(__xludf.DUMMYFUNCTION("""COMPUTED_VALUE"""),45782.3333333333)</f>
        <v>45782.333333333299</v>
      </c>
      <c r="L441" s="373">
        <f ca="1">IFERROR(__xludf.DUMMYFUNCTION("""COMPUTED_VALUE"""),45782.0833333333)</f>
        <v>45782.083333333299</v>
      </c>
      <c r="M441" s="360" t="str">
        <f ca="1">IFERROR(__xludf.DUMMYFUNCTION("""COMPUTED_VALUE"""),"06/05/2025 MORNING")</f>
        <v>06/05/2025 MORNING</v>
      </c>
    </row>
    <row r="442" spans="1:13" ht="18.75">
      <c r="A442" s="360"/>
      <c r="B442" s="360"/>
      <c r="C442" s="361" t="str">
        <f ca="1">IFERROR(__xludf.DUMMYFUNCTION("""COMPUTED_VALUE"""),"THLCB")</f>
        <v>THLCB</v>
      </c>
      <c r="D442" s="360" t="str">
        <f ca="1">IFERROR(__xludf.DUMMYFUNCTION("""COMPUTED_VALUE"""),"25/04/2025 04:00")</f>
        <v>25/04/2025 04:00</v>
      </c>
      <c r="E442" s="360"/>
      <c r="F442" s="360" t="str">
        <f ca="1">IFERROR(__xludf.DUMMYFUNCTION("""COMPUTED_VALUE"""),"29/04/2025 13:00")</f>
        <v>29/04/2025 13:00</v>
      </c>
      <c r="G442" s="360" t="str">
        <f ca="1">IFERROR(__xludf.DUMMYFUNCTION("""COMPUTED_VALUE"""),"30/04/2025 15:00")</f>
        <v>30/04/2025 15:00</v>
      </c>
      <c r="H442" s="360" t="str">
        <f ca="1">IFERROR(__xludf.DUMMYFUNCTION("""COMPUTED_VALUE"""),"30/04/2025 13:00")</f>
        <v>30/04/2025 13:00</v>
      </c>
      <c r="I442" s="369">
        <f ca="1">IFERROR(__xludf.DUMMYFUNCTION("""COMPUTED_VALUE"""),45662.625)</f>
        <v>45662.625</v>
      </c>
      <c r="J442" s="369">
        <f ca="1">IFERROR(__xludf.DUMMYFUNCTION("""COMPUTED_VALUE"""),45693.6666666666)</f>
        <v>45693.666666666599</v>
      </c>
      <c r="K442" s="370">
        <f ca="1">IFERROR(__xludf.DUMMYFUNCTION("""COMPUTED_VALUE"""),45782.8333333333)</f>
        <v>45782.833333333299</v>
      </c>
      <c r="L442" s="373">
        <f ca="1">IFERROR(__xludf.DUMMYFUNCTION("""COMPUTED_VALUE"""),45782.9166666666)</f>
        <v>45782.916666666599</v>
      </c>
      <c r="M442" s="360" t="str">
        <f ca="1">IFERROR(__xludf.DUMMYFUNCTION("""COMPUTED_VALUE"""),"06/05/2025 MORNING")</f>
        <v>06/05/2025 MORNING</v>
      </c>
    </row>
    <row r="443" spans="1:13" ht="18.75">
      <c r="A443" s="360" t="str">
        <f ca="1">IFERROR(__xludf.DUMMYFUNCTION("""COMPUTED_VALUE"""),"CVT")</f>
        <v>CVT</v>
      </c>
      <c r="B443" s="360" t="str">
        <f ca="1">IFERROR(__xludf.DUMMYFUNCTION("""COMPUTED_VALUE"""),"AVIOS V.2507N")</f>
        <v>AVIOS V.2507N</v>
      </c>
      <c r="C443" s="361" t="str">
        <f ca="1">IFERROR(__xludf.DUMMYFUNCTION("""COMPUTED_VALUE"""),"THBKK")</f>
        <v>THBKK</v>
      </c>
      <c r="D443" s="366">
        <f ca="1">IFERROR(__xludf.DUMMYFUNCTION("""COMPUTED_VALUE"""),45874.3333333333)</f>
        <v>45874.333333333299</v>
      </c>
      <c r="E443" s="360" t="str">
        <f ca="1">IFERROR(__xludf.DUMMYFUNCTION("""COMPUTED_VALUE"""),"33.61 30/04/2025")</f>
        <v>33.61 30/04/2025</v>
      </c>
      <c r="F443" s="366">
        <f ca="1">IFERROR(__xludf.DUMMYFUNCTION("""COMPUTED_VALUE"""),45813.5416666666)</f>
        <v>45813.541666666599</v>
      </c>
      <c r="G443" s="366">
        <f ca="1">IFERROR(__xludf.DUMMYFUNCTION("""COMPUTED_VALUE"""),45843.625)</f>
        <v>45843.625</v>
      </c>
      <c r="H443" s="366">
        <f ca="1">IFERROR(__xludf.DUMMYFUNCTION("""COMPUTED_VALUE"""),45843.5416666666)</f>
        <v>45843.541666666599</v>
      </c>
      <c r="I443" s="369">
        <f ca="1">IFERROR(__xludf.DUMMYFUNCTION("""COMPUTED_VALUE"""),45874.6666666666)</f>
        <v>45874.666666666599</v>
      </c>
      <c r="J443" s="369">
        <f ca="1">IFERROR(__xludf.DUMMYFUNCTION("""COMPUTED_VALUE"""),45905.6666666666)</f>
        <v>45905.666666666599</v>
      </c>
      <c r="K443" s="370">
        <f ca="1">IFERROR(__xludf.DUMMYFUNCTION("""COMPUTED_VALUE"""),45935.1666666666)</f>
        <v>45935.166666666599</v>
      </c>
      <c r="L443" s="373">
        <f ca="1">IFERROR(__xludf.DUMMYFUNCTION("""COMPUTED_VALUE"""),45935.5833333333)</f>
        <v>45935.583333333299</v>
      </c>
      <c r="M443" s="360" t="str">
        <f ca="1">IFERROR(__xludf.DUMMYFUNCTION("""COMPUTED_VALUE"""),"13/05/2025 MORNING")</f>
        <v>13/05/2025 MORNING</v>
      </c>
    </row>
    <row r="444" spans="1:13" ht="18.75">
      <c r="A444" s="360"/>
      <c r="B444" s="360"/>
      <c r="C444" s="361" t="str">
        <f ca="1">IFERROR(__xludf.DUMMYFUNCTION("""COMPUTED_VALUE"""),"THLCB")</f>
        <v>THLCB</v>
      </c>
      <c r="D444" s="366">
        <f ca="1">IFERROR(__xludf.DUMMYFUNCTION("""COMPUTED_VALUE"""),45905.1666666666)</f>
        <v>45905.166666666599</v>
      </c>
      <c r="E444" s="360"/>
      <c r="F444" s="366">
        <f ca="1">IFERROR(__xludf.DUMMYFUNCTION("""COMPUTED_VALUE"""),45813.5416666666)</f>
        <v>45813.541666666599</v>
      </c>
      <c r="G444" s="366">
        <f ca="1">IFERROR(__xludf.DUMMYFUNCTION("""COMPUTED_VALUE"""),45843.625)</f>
        <v>45843.625</v>
      </c>
      <c r="H444" s="366">
        <f ca="1">IFERROR(__xludf.DUMMYFUNCTION("""COMPUTED_VALUE"""),45843.5416666666)</f>
        <v>45843.541666666599</v>
      </c>
      <c r="I444" s="369">
        <f ca="1">IFERROR(__xludf.DUMMYFUNCTION("""COMPUTED_VALUE"""),45874.6666666666)</f>
        <v>45874.666666666599</v>
      </c>
      <c r="J444" s="369">
        <f ca="1">IFERROR(__xludf.DUMMYFUNCTION("""COMPUTED_VALUE"""),45905.6666666666)</f>
        <v>45905.666666666599</v>
      </c>
      <c r="K444" s="370">
        <f ca="1">IFERROR(__xludf.DUMMYFUNCTION("""COMPUTED_VALUE"""),45966.1666666666)</f>
        <v>45966.166666666599</v>
      </c>
      <c r="L444" s="373">
        <f ca="1">IFERROR(__xludf.DUMMYFUNCTION("""COMPUTED_VALUE"""),45966.4583333333)</f>
        <v>45966.458333333299</v>
      </c>
      <c r="M444" s="360" t="str">
        <f ca="1">IFERROR(__xludf.DUMMYFUNCTION("""COMPUTED_VALUE"""),"13/05/2025 MORNING")</f>
        <v>13/05/2025 MORNING</v>
      </c>
    </row>
    <row r="445" spans="1:13" ht="18.75">
      <c r="A445" s="360"/>
      <c r="B445" s="360"/>
      <c r="C445" s="361"/>
      <c r="D445" s="360"/>
      <c r="E445" s="360"/>
      <c r="F445" s="360"/>
      <c r="G445" s="360"/>
      <c r="H445" s="360"/>
      <c r="I445" s="362"/>
      <c r="J445" s="362"/>
      <c r="K445" s="362"/>
      <c r="L445" s="360"/>
      <c r="M445" s="360"/>
    </row>
    <row r="446" spans="1:13" ht="18.75">
      <c r="A446" s="360"/>
      <c r="B446" s="360" t="str">
        <f ca="1">IFERROR(__xludf.DUMMYFUNCTION("""COMPUTED_VALUE"""),"WEEK 18/2025")</f>
        <v>WEEK 18/2025</v>
      </c>
      <c r="C446" s="361" t="str">
        <f ca="1">IFERROR(__xludf.DUMMYFUNCTION("""COMPUTED_VALUE"""),"01 MAY 2025 Holidays National Labor Day")</f>
        <v>01 MAY 2025 Holidays National Labor Day</v>
      </c>
      <c r="D446" s="360"/>
      <c r="E446" s="360"/>
      <c r="F446" s="360"/>
      <c r="G446" s="360"/>
      <c r="H446" s="360"/>
      <c r="I446" s="362"/>
      <c r="J446" s="362"/>
      <c r="K446" s="362"/>
      <c r="L446" s="360"/>
      <c r="M446" s="360"/>
    </row>
    <row r="447" spans="1:13" ht="18.75">
      <c r="A447" s="360"/>
      <c r="B447" s="360"/>
      <c r="C447" s="361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447" s="360"/>
      <c r="E447" s="360"/>
      <c r="F447" s="360"/>
      <c r="G447" s="360"/>
      <c r="H447" s="360"/>
      <c r="I447" s="362"/>
      <c r="J447" s="362"/>
      <c r="K447" s="362"/>
      <c r="L447" s="360"/>
      <c r="M447" s="360"/>
    </row>
    <row r="448" spans="1:13" ht="18.75">
      <c r="A448" s="360" t="str">
        <f ca="1">IFERROR(__xludf.DUMMYFUNCTION("""COMPUTED_VALUE"""),"SERVICE")</f>
        <v>SERVICE</v>
      </c>
      <c r="B448" s="360" t="str">
        <f ca="1">IFERROR(__xludf.DUMMYFUNCTION("""COMPUTED_VALUE"""),"VESSEL NAME")</f>
        <v>VESSEL NAME</v>
      </c>
      <c r="C448" s="361" t="str">
        <f ca="1">IFERROR(__xludf.DUMMYFUNCTION("""COMPUTED_VALUE"""),"PORT")</f>
        <v>PORT</v>
      </c>
      <c r="D448" s="360" t="str">
        <f ca="1">IFERROR(__xludf.DUMMYFUNCTION("""COMPUTED_VALUE"""),"PERFOMA ETD")</f>
        <v>PERFOMA ETD</v>
      </c>
      <c r="E448" s="360" t="str">
        <f ca="1">IFERROR(__xludf.DUMMYFUNCTION("""COMPUTED_VALUE"""),"EX.RATE/DATE/")</f>
        <v>EX.RATE/DATE/</v>
      </c>
      <c r="F448" s="360" t="str">
        <f ca="1">IFERROR(__xludf.DUMMYFUNCTION("""COMPUTED_VALUE"""),"SI CUT OFF USA")</f>
        <v>SI CUT OFF USA</v>
      </c>
      <c r="G448" s="360" t="str">
        <f ca="1">IFERROR(__xludf.DUMMYFUNCTION("""COMPUTED_VALUE"""),"SI CUT OFF")</f>
        <v>SI CUT OFF</v>
      </c>
      <c r="H448" s="360" t="str">
        <f ca="1">IFERROR(__xludf.DUMMYFUNCTION("""COMPUTED_VALUE"""),"B/L CFM USA")</f>
        <v>B/L CFM USA</v>
      </c>
      <c r="I448" s="362" t="str">
        <f ca="1">IFERROR(__xludf.DUMMYFUNCTION("""COMPUTED_VALUE"""),"B/L CFM CHINA,JP,VN")</f>
        <v>B/L CFM CHINA,JP,VN</v>
      </c>
      <c r="J448" s="362" t="str">
        <f ca="1">IFERROR(__xludf.DUMMYFUNCTION("""COMPUTED_VALUE"""),"B/L CONFIRM")</f>
        <v>B/L CONFIRM</v>
      </c>
      <c r="K448" s="362" t="str">
        <f ca="1">IFERROR(__xludf.DUMMYFUNCTION("""COMPUTED_VALUE"""),"ETD")</f>
        <v>ETD</v>
      </c>
      <c r="L448" s="360" t="str">
        <f ca="1">IFERROR(__xludf.DUMMYFUNCTION("""COMPUTED_VALUE"""),"ATD")</f>
        <v>ATD</v>
      </c>
      <c r="M448" s="360" t="str">
        <f ca="1">IFERROR(__xludf.DUMMYFUNCTION("""COMPUTED_VALUE"""),"B/L ISSUED DATE")</f>
        <v>B/L ISSUED DATE</v>
      </c>
    </row>
    <row r="449" spans="1:13" ht="18.75">
      <c r="A449" s="360"/>
      <c r="B449" s="360"/>
      <c r="C449" s="361"/>
      <c r="D449" s="360"/>
      <c r="E449" s="360" t="str">
        <f ca="1">IFERROR(__xludf.DUMMYFUNCTION("""COMPUTED_VALUE"""),"BANGKOK BANK")</f>
        <v>BANGKOK BANK</v>
      </c>
      <c r="F449" s="360" t="str">
        <f ca="1">IFERROR(__xludf.DUMMYFUNCTION("""COMPUTED_VALUE"""),"4 days before ETD")</f>
        <v>4 days before ETD</v>
      </c>
      <c r="G449" s="360"/>
      <c r="H449" s="360" t="str">
        <f ca="1">IFERROR(__xludf.DUMMYFUNCTION("""COMPUTED_VALUE"""),"3 days before ETD")</f>
        <v>3 days before ETD</v>
      </c>
      <c r="I449" s="362" t="str">
        <f ca="1">IFERROR(__xludf.DUMMYFUNCTION("""COMPUTED_VALUE"""),"Direct port CUT OFF")</f>
        <v>Direct port CUT OFF</v>
      </c>
      <c r="J449" s="362" t="str">
        <f ca="1">IFERROR(__xludf.DUMMYFUNCTION("""COMPUTED_VALUE"""),"Orther port CUT OFF")</f>
        <v>Orther port CUT OFF</v>
      </c>
      <c r="K449" s="362" t="str">
        <f ca="1">IFERROR(__xludf.DUMMYFUNCTION("""COMPUTED_VALUE"""),"ON BOARD DATE")</f>
        <v>ON BOARD DATE</v>
      </c>
      <c r="L449" s="360" t="str">
        <f ca="1">IFERROR(__xludf.DUMMYFUNCTION("""COMPUTED_VALUE"""),"วันเรือออกจริง")</f>
        <v>วันเรือออกจริง</v>
      </c>
      <c r="M449" s="360" t="str">
        <f ca="1">IFERROR(__xludf.DUMMYFUNCTION("""COMPUTED_VALUE"""),"วันปล่อยบีแอล")</f>
        <v>วันปล่อยบีแอล</v>
      </c>
    </row>
    <row r="450" spans="1:13" ht="18.75">
      <c r="A450" s="360"/>
      <c r="B450" s="360"/>
      <c r="C450" s="361"/>
      <c r="D450" s="360"/>
      <c r="E450" s="360"/>
      <c r="F450" s="360"/>
      <c r="G450" s="360" t="str">
        <f ca="1">IFERROR(__xludf.DUMMYFUNCTION("""COMPUTED_VALUE"""),"3 days before ETD")</f>
        <v>3 days before ETD</v>
      </c>
      <c r="H450" s="360"/>
      <c r="I450" s="362" t="str">
        <f ca="1">IFERROR(__xludf.DUMMYFUNCTION("""COMPUTED_VALUE"""),"2 days before ETD")</f>
        <v>2 days before ETD</v>
      </c>
      <c r="J450" s="362" t="str">
        <f ca="1">IFERROR(__xludf.DUMMYFUNCTION("""COMPUTED_VALUE"""),"1 days before ETD")</f>
        <v>1 days before ETD</v>
      </c>
      <c r="K450" s="362" t="str">
        <f ca="1">IFERROR(__xludf.DUMMYFUNCTION("""COMPUTED_VALUE"""),"SHOW ON B/L")</f>
        <v>SHOW ON B/L</v>
      </c>
      <c r="L450" s="360"/>
      <c r="M450" s="360"/>
    </row>
    <row r="451" spans="1:13" ht="18.75">
      <c r="A451" s="360" t="str">
        <f ca="1">IFERROR(__xludf.DUMMYFUNCTION("""COMPUTED_VALUE"""),"JHTS")</f>
        <v>JHTS</v>
      </c>
      <c r="B451" s="360" t="str">
        <f ca="1">IFERROR(__xludf.DUMMYFUNCTION("""COMPUTED_VALUE"""),"TS XIAMEN V.25006N")</f>
        <v>TS XIAMEN V.25006N</v>
      </c>
      <c r="C451" s="361" t="str">
        <f ca="1">IFERROR(__xludf.DUMMYFUNCTION("""COMPUTED_VALUE"""),"THBKK")</f>
        <v>THBKK</v>
      </c>
      <c r="D451" s="360" t="str">
        <f ca="1">IFERROR(__xludf.DUMMYFUNCTION("""COMPUTED_VALUE"""),"27/04/2025 06:00")</f>
        <v>27/04/2025 06:00</v>
      </c>
      <c r="E451" s="360" t="str">
        <f ca="1">IFERROR(__xludf.DUMMYFUNCTION("""COMPUTED_VALUE"""),"33.69 18/04/2025")</f>
        <v>33.69 18/04/2025</v>
      </c>
      <c r="F451" s="360" t="str">
        <f ca="1">IFERROR(__xludf.DUMMYFUNCTION("""COMPUTED_VALUE"""),"23/04/2025 13:00")</f>
        <v>23/04/2025 13:00</v>
      </c>
      <c r="G451" s="360" t="str">
        <f ca="1">IFERROR(__xludf.DUMMYFUNCTION("""COMPUTED_VALUE"""),"24/04/2025 15:00")</f>
        <v>24/04/2025 15:00</v>
      </c>
      <c r="H451" s="360" t="str">
        <f ca="1">IFERROR(__xludf.DUMMYFUNCTION("""COMPUTED_VALUE"""),"24/04/2025 13:00")</f>
        <v>24/04/2025 13:00</v>
      </c>
      <c r="I451" s="362" t="str">
        <f ca="1">IFERROR(__xludf.DUMMYFUNCTION("""COMPUTED_VALUE"""),"25/04/2025 15:00")</f>
        <v>25/04/2025 15:00</v>
      </c>
      <c r="J451" s="362" t="str">
        <f ca="1">IFERROR(__xludf.DUMMYFUNCTION("""COMPUTED_VALUE"""),"25/04/2025 16:00")</f>
        <v>25/04/2025 16:00</v>
      </c>
      <c r="K451" s="362" t="str">
        <f ca="1">IFERROR(__xludf.DUMMYFUNCTION("""COMPUTED_VALUE"""),"28/04/2025 02:00")</f>
        <v>28/04/2025 02:00</v>
      </c>
      <c r="L451" s="360" t="str">
        <f ca="1">IFERROR(__xludf.DUMMYFUNCTION("""COMPUTED_VALUE"""),"28/04/2025  02:00")</f>
        <v>28/04/2025  02:00</v>
      </c>
      <c r="M451" s="360" t="str">
        <f ca="1">IFERROR(__xludf.DUMMYFUNCTION("""COMPUTED_VALUE"""),"28/04/2025 NOON")</f>
        <v>28/04/2025 NOON</v>
      </c>
    </row>
    <row r="452" spans="1:13" ht="18.75">
      <c r="A452" s="360"/>
      <c r="B452" s="360"/>
      <c r="C452" s="361" t="str">
        <f ca="1">IFERROR(__xludf.DUMMYFUNCTION("""COMPUTED_VALUE"""),"THLCB")</f>
        <v>THLCB</v>
      </c>
      <c r="D452" s="360" t="str">
        <f ca="1">IFERROR(__xludf.DUMMYFUNCTION("""COMPUTED_VALUE"""),"28/04/2025 06:00")</f>
        <v>28/04/2025 06:00</v>
      </c>
      <c r="E452" s="360"/>
      <c r="F452" s="360" t="str">
        <f ca="1">IFERROR(__xludf.DUMMYFUNCTION("""COMPUTED_VALUE"""),"24/04/2025 13:00")</f>
        <v>24/04/2025 13:00</v>
      </c>
      <c r="G452" s="360" t="str">
        <f ca="1">IFERROR(__xludf.DUMMYFUNCTION("""COMPUTED_VALUE"""),"25/04/2025 15:00")</f>
        <v>25/04/2025 15:00</v>
      </c>
      <c r="H452" s="360" t="str">
        <f ca="1">IFERROR(__xludf.DUMMYFUNCTION("""COMPUTED_VALUE"""),"25/04/2025 13:00")</f>
        <v>25/04/2025 13:00</v>
      </c>
      <c r="I452" s="362" t="str">
        <f ca="1">IFERROR(__xludf.DUMMYFUNCTION("""COMPUTED_VALUE"""),"26/04/2025 15:00")</f>
        <v>26/04/2025 15:00</v>
      </c>
      <c r="J452" s="362" t="str">
        <f ca="1">IFERROR(__xludf.DUMMYFUNCTION("""COMPUTED_VALUE"""),"25/04/2025 16:00")</f>
        <v>25/04/2025 16:00</v>
      </c>
      <c r="K452" s="362" t="str">
        <f ca="1">IFERROR(__xludf.DUMMYFUNCTION("""COMPUTED_VALUE"""),"29/04/2025 02:00")</f>
        <v>29/04/2025 02:00</v>
      </c>
      <c r="L452" s="360" t="str">
        <f ca="1">IFERROR(__xludf.DUMMYFUNCTION("""COMPUTED_VALUE"""),"29/04/2025  06:10")</f>
        <v>29/04/2025  06:10</v>
      </c>
      <c r="M452" s="360" t="str">
        <f ca="1">IFERROR(__xludf.DUMMYFUNCTION("""COMPUTED_VALUE"""),"29/04/2025 NOON")</f>
        <v>29/04/2025 NOON</v>
      </c>
    </row>
    <row r="453" spans="1:13" ht="18.75">
      <c r="A453" s="360" t="str">
        <f ca="1">IFERROR(__xludf.DUMMYFUNCTION("""COMPUTED_VALUE"""),"TRX")</f>
        <v>TRX</v>
      </c>
      <c r="B453" s="360" t="str">
        <f ca="1">IFERROR(__xludf.DUMMYFUNCTION("""COMPUTED_VALUE"""),"LITTLE WARRIOR V.016N")</f>
        <v>LITTLE WARRIOR V.016N</v>
      </c>
      <c r="C453" s="361" t="str">
        <f ca="1">IFERROR(__xludf.DUMMYFUNCTION("""COMPUTED_VALUE"""),"THBKK")</f>
        <v>THBKK</v>
      </c>
      <c r="D453" s="360" t="str">
        <f ca="1">IFERROR(__xludf.DUMMYFUNCTION("""COMPUTED_VALUE"""),"29/04/2025 19:30")</f>
        <v>29/04/2025 19:30</v>
      </c>
      <c r="E453" s="360" t="str">
        <f ca="1">IFERROR(__xludf.DUMMYFUNCTION("""COMPUTED_VALUE"""),"33.38 21/04/2025")</f>
        <v>33.38 21/04/2025</v>
      </c>
      <c r="F453" s="360" t="str">
        <f ca="1">IFERROR(__xludf.DUMMYFUNCTION("""COMPUTED_VALUE"""),"25/04/2025 13:00")</f>
        <v>25/04/2025 13:00</v>
      </c>
      <c r="G453" s="360" t="str">
        <f ca="1">IFERROR(__xludf.DUMMYFUNCTION("""COMPUTED_VALUE"""),"25/04/2025 15:00")</f>
        <v>25/04/2025 15:00</v>
      </c>
      <c r="H453" s="360" t="str">
        <f ca="1">IFERROR(__xludf.DUMMYFUNCTION("""COMPUTED_VALUE"""),"25/04/2025 13:00")</f>
        <v>25/04/2025 13:00</v>
      </c>
      <c r="I453" s="362" t="str">
        <f ca="1">IFERROR(__xludf.DUMMYFUNCTION("""COMPUTED_VALUE"""),"25/04/2025 15:00")</f>
        <v>25/04/2025 15:00</v>
      </c>
      <c r="J453" s="362" t="str">
        <f ca="1">IFERROR(__xludf.DUMMYFUNCTION("""COMPUTED_VALUE"""),"28/04/2025 16:00")</f>
        <v>28/04/2025 16:00</v>
      </c>
      <c r="K453" s="362" t="str">
        <f ca="1">IFERROR(__xludf.DUMMYFUNCTION("""COMPUTED_VALUE"""),"29/04/2025 17:30")</f>
        <v>29/04/2025 17:30</v>
      </c>
      <c r="L453" s="360" t="str">
        <f ca="1">IFERROR(__xludf.DUMMYFUNCTION("""COMPUTED_VALUE"""),"29/04/2025  21:00")</f>
        <v>29/04/2025  21:00</v>
      </c>
      <c r="M453" s="360" t="str">
        <f ca="1">IFERROR(__xludf.DUMMYFUNCTION("""COMPUTED_VALUE"""),"30/04/2025 MORNING")</f>
        <v>30/04/2025 MORNING</v>
      </c>
    </row>
    <row r="454" spans="1:13" ht="18.75">
      <c r="A454" s="360"/>
      <c r="B454" s="360"/>
      <c r="C454" s="361" t="str">
        <f ca="1">IFERROR(__xludf.DUMMYFUNCTION("""COMPUTED_VALUE"""),"THLCB")</f>
        <v>THLCB</v>
      </c>
      <c r="D454" s="360" t="str">
        <f ca="1">IFERROR(__xludf.DUMMYFUNCTION("""COMPUTED_VALUE"""),"30/04/2025 09:00")</f>
        <v>30/04/2025 09:00</v>
      </c>
      <c r="E454" s="360"/>
      <c r="F454" s="360" t="str">
        <f ca="1">IFERROR(__xludf.DUMMYFUNCTION("""COMPUTED_VALUE"""),"25/04/2025 13:00")</f>
        <v>25/04/2025 13:00</v>
      </c>
      <c r="G454" s="360" t="str">
        <f ca="1">IFERROR(__xludf.DUMMYFUNCTION("""COMPUTED_VALUE"""),"28/04/2025 15:00")</f>
        <v>28/04/2025 15:00</v>
      </c>
      <c r="H454" s="360" t="str">
        <f ca="1">IFERROR(__xludf.DUMMYFUNCTION("""COMPUTED_VALUE"""),"28/04/2025 13:00")</f>
        <v>28/04/2025 13:00</v>
      </c>
      <c r="I454" s="362" t="str">
        <f ca="1">IFERROR(__xludf.DUMMYFUNCTION("""COMPUTED_VALUE"""),"29/04/2025 15:00")</f>
        <v>29/04/2025 15:00</v>
      </c>
      <c r="J454" s="362" t="str">
        <f ca="1">IFERROR(__xludf.DUMMYFUNCTION("""COMPUTED_VALUE"""),"30/04/2025 16:00")</f>
        <v>30/04/2025 16:00</v>
      </c>
      <c r="K454" s="369">
        <f ca="1">IFERROR(__xludf.DUMMYFUNCTION("""COMPUTED_VALUE"""),45662.5833333333)</f>
        <v>45662.583333333299</v>
      </c>
      <c r="L454" s="366">
        <f ca="1">IFERROR(__xludf.DUMMYFUNCTION("""COMPUTED_VALUE"""),45662.1291666666)</f>
        <v>45662.1291666666</v>
      </c>
      <c r="M454" s="360" t="str">
        <f ca="1">IFERROR(__xludf.DUMMYFUNCTION("""COMPUTED_VALUE"""),"02/05/2025 MORNING")</f>
        <v>02/05/2025 MORNING</v>
      </c>
    </row>
    <row r="455" spans="1:13" ht="18.75">
      <c r="A455" s="360" t="str">
        <f ca="1">IFERROR(__xludf.DUMMYFUNCTION("""COMPUTED_VALUE"""),"CHT")</f>
        <v>CHT</v>
      </c>
      <c r="B455" s="360" t="str">
        <f ca="1">IFERROR(__xludf.DUMMYFUNCTION("""COMPUTED_VALUE"""),"TS TIANJIN V.25004N")</f>
        <v>TS TIANJIN V.25004N</v>
      </c>
      <c r="C455" s="361" t="str">
        <f ca="1">IFERROR(__xludf.DUMMYFUNCTION("""COMPUTED_VALUE"""),"THBKK")</f>
        <v>THBKK</v>
      </c>
      <c r="D455" s="360" t="str">
        <f ca="1">IFERROR(__xludf.DUMMYFUNCTION("""COMPUTED_VALUE"""),"16/04/2025 18:00")</f>
        <v>16/04/2025 18:00</v>
      </c>
      <c r="E455" s="360" t="str">
        <f ca="1">IFERROR(__xludf.DUMMYFUNCTION("""COMPUTED_VALUE"""),"33.69 18/04/2025")</f>
        <v>33.69 18/04/2025</v>
      </c>
      <c r="F455" s="360" t="str">
        <f ca="1">IFERROR(__xludf.DUMMYFUNCTION("""COMPUTED_VALUE"""),"25/04/2025 13:00")</f>
        <v>25/04/2025 13:00</v>
      </c>
      <c r="G455" s="360" t="str">
        <f ca="1">IFERROR(__xludf.DUMMYFUNCTION("""COMPUTED_VALUE"""),"25/04/2025 15:00")</f>
        <v>25/04/2025 15:00</v>
      </c>
      <c r="H455" s="360" t="str">
        <f ca="1">IFERROR(__xludf.DUMMYFUNCTION("""COMPUTED_VALUE"""),"25/04/2025 13:00")</f>
        <v>25/04/2025 13:00</v>
      </c>
      <c r="I455" s="362" t="str">
        <f ca="1">IFERROR(__xludf.DUMMYFUNCTION("""COMPUTED_VALUE"""),"25/04/2025 15:00")</f>
        <v>25/04/2025 15:00</v>
      </c>
      <c r="J455" s="362" t="str">
        <f ca="1">IFERROR(__xludf.DUMMYFUNCTION("""COMPUTED_VALUE"""),"28/04/2025 16:00")</f>
        <v>28/04/2025 16:00</v>
      </c>
      <c r="K455" s="362" t="str">
        <f ca="1">IFERROR(__xludf.DUMMYFUNCTION("""COMPUTED_VALUE"""),"28/04/2025 17:00")</f>
        <v>28/04/2025 17:00</v>
      </c>
      <c r="L455" s="360" t="str">
        <f ca="1">IFERROR(__xludf.DUMMYFUNCTION("""COMPUTED_VALUE"""),"28/04/2025  17:00")</f>
        <v>28/04/2025  17:00</v>
      </c>
      <c r="M455" s="360" t="str">
        <f ca="1">IFERROR(__xludf.DUMMYFUNCTION("""COMPUTED_VALUE"""),"29/04/2025 MORNING")</f>
        <v>29/04/2025 MORNING</v>
      </c>
    </row>
    <row r="456" spans="1:13" ht="18.75">
      <c r="A456" s="360"/>
      <c r="B456" s="360"/>
      <c r="C456" s="361" t="str">
        <f ca="1">IFERROR(__xludf.DUMMYFUNCTION("""COMPUTED_VALUE"""),"THLCB")</f>
        <v>THLCB</v>
      </c>
      <c r="D456" s="360" t="str">
        <f ca="1">IFERROR(__xludf.DUMMYFUNCTION("""COMPUTED_VALUE"""),"17/04/2025 12:00")</f>
        <v>17/04/2025 12:00</v>
      </c>
      <c r="E456" s="360"/>
      <c r="F456" s="360" t="str">
        <f ca="1">IFERROR(__xludf.DUMMYFUNCTION("""COMPUTED_VALUE"""),"25/04/2025 13:00")</f>
        <v>25/04/2025 13:00</v>
      </c>
      <c r="G456" s="360" t="str">
        <f ca="1">IFERROR(__xludf.DUMMYFUNCTION("""COMPUTED_VALUE"""),"25/04/2025 15:00")</f>
        <v>25/04/2025 15:00</v>
      </c>
      <c r="H456" s="360" t="str">
        <f ca="1">IFERROR(__xludf.DUMMYFUNCTION("""COMPUTED_VALUE"""),"25/04/2025 13:00")</f>
        <v>25/04/2025 13:00</v>
      </c>
      <c r="I456" s="362" t="str">
        <f ca="1">IFERROR(__xludf.DUMMYFUNCTION("""COMPUTED_VALUE"""),"25/04/2025 15:00")</f>
        <v>25/04/2025 15:00</v>
      </c>
      <c r="J456" s="362" t="str">
        <f ca="1">IFERROR(__xludf.DUMMYFUNCTION("""COMPUTED_VALUE"""),"28/04/2025 16:00")</f>
        <v>28/04/2025 16:00</v>
      </c>
      <c r="K456" s="362" t="str">
        <f ca="1">IFERROR(__xludf.DUMMYFUNCTION("""COMPUTED_VALUE"""),"30/04/2025 07:00")</f>
        <v>30/04/2025 07:00</v>
      </c>
      <c r="L456" s="360" t="str">
        <f ca="1">IFERROR(__xludf.DUMMYFUNCTION("""COMPUTED_VALUE"""),"30/04/2025  02:07")</f>
        <v>30/04/2025  02:07</v>
      </c>
      <c r="M456" s="360" t="str">
        <f ca="1">IFERROR(__xludf.DUMMYFUNCTION("""COMPUTED_VALUE"""),"30/04/2025 NOON")</f>
        <v>30/04/2025 NOON</v>
      </c>
    </row>
    <row r="457" spans="1:13" ht="18.75">
      <c r="A457" s="360" t="str">
        <f ca="1">IFERROR(__xludf.DUMMYFUNCTION("""COMPUTED_VALUE"""),"CHT")</f>
        <v>CHT</v>
      </c>
      <c r="B457" s="360" t="str">
        <f ca="1">IFERROR(__xludf.DUMMYFUNCTION("""COMPUTED_VALUE"""),"KMTC TAIPEIS V.2505N")</f>
        <v>KMTC TAIPEIS V.2505N</v>
      </c>
      <c r="C457" s="361" t="str">
        <f ca="1">IFERROR(__xludf.DUMMYFUNCTION("""COMPUTED_VALUE"""),"THBKK")</f>
        <v>THBKK</v>
      </c>
      <c r="D457" s="360" t="str">
        <f ca="1">IFERROR(__xludf.DUMMYFUNCTION("""COMPUTED_VALUE"""),"24/04/2025 08:00")</f>
        <v>24/04/2025 08:00</v>
      </c>
      <c r="E457" s="360" t="str">
        <f ca="1">IFERROR(__xludf.DUMMYFUNCTION("""COMPUTED_VALUE"""),"33.72 24/04/2025")</f>
        <v>33.72 24/04/2025</v>
      </c>
      <c r="F457" s="360" t="str">
        <f ca="1">IFERROR(__xludf.DUMMYFUNCTION("""COMPUTED_VALUE"""),"28/04/2025 13:00")</f>
        <v>28/04/2025 13:00</v>
      </c>
      <c r="G457" s="360" t="str">
        <f ca="1">IFERROR(__xludf.DUMMYFUNCTION("""COMPUTED_VALUE"""),"29/04/2025 15:00")</f>
        <v>29/04/2025 15:00</v>
      </c>
      <c r="H457" s="360" t="str">
        <f ca="1">IFERROR(__xludf.DUMMYFUNCTION("""COMPUTED_VALUE"""),"29/04/2025 13:00")</f>
        <v>29/04/2025 13:00</v>
      </c>
      <c r="I457" s="362" t="str">
        <f ca="1">IFERROR(__xludf.DUMMYFUNCTION("""COMPUTED_VALUE"""),"30/04/2025 15:00")</f>
        <v>30/04/2025 15:00</v>
      </c>
      <c r="J457" s="369">
        <f ca="1">IFERROR(__xludf.DUMMYFUNCTION("""COMPUTED_VALUE"""),45662.6666666666)</f>
        <v>45662.666666666599</v>
      </c>
      <c r="K457" s="369">
        <f ca="1">IFERROR(__xludf.DUMMYFUNCTION("""COMPUTED_VALUE"""),45693.75)</f>
        <v>45693.75</v>
      </c>
      <c r="L457" s="366">
        <f ca="1">IFERROR(__xludf.DUMMYFUNCTION("""COMPUTED_VALUE"""),45692.75)</f>
        <v>45692.75</v>
      </c>
      <c r="M457" s="360" t="str">
        <f ca="1">IFERROR(__xludf.DUMMYFUNCTION("""COMPUTED_VALUE"""),"06/05/2025 MORNING")</f>
        <v>06/05/2025 MORNING</v>
      </c>
    </row>
    <row r="458" spans="1:13" ht="18.75">
      <c r="A458" s="360"/>
      <c r="B458" s="360"/>
      <c r="C458" s="361" t="str">
        <f ca="1">IFERROR(__xludf.DUMMYFUNCTION("""COMPUTED_VALUE"""),"THLCB")</f>
        <v>THLCB</v>
      </c>
      <c r="D458" s="360" t="str">
        <f ca="1">IFERROR(__xludf.DUMMYFUNCTION("""COMPUTED_VALUE"""),"25/04/2025 04:00")</f>
        <v>25/04/2025 04:00</v>
      </c>
      <c r="E458" s="360"/>
      <c r="F458" s="360" t="str">
        <f ca="1">IFERROR(__xludf.DUMMYFUNCTION("""COMPUTED_VALUE"""),"29/04/2025 13:00")</f>
        <v>29/04/2025 13:00</v>
      </c>
      <c r="G458" s="360" t="str">
        <f ca="1">IFERROR(__xludf.DUMMYFUNCTION("""COMPUTED_VALUE"""),"30/04/2025 15:00")</f>
        <v>30/04/2025 15:00</v>
      </c>
      <c r="H458" s="360" t="str">
        <f ca="1">IFERROR(__xludf.DUMMYFUNCTION("""COMPUTED_VALUE"""),"30/04/2025 13:00")</f>
        <v>30/04/2025 13:00</v>
      </c>
      <c r="I458" s="369">
        <f ca="1">IFERROR(__xludf.DUMMYFUNCTION("""COMPUTED_VALUE"""),45662.625)</f>
        <v>45662.625</v>
      </c>
      <c r="J458" s="369">
        <f ca="1">IFERROR(__xludf.DUMMYFUNCTION("""COMPUTED_VALUE"""),45693.6666666666)</f>
        <v>45693.666666666599</v>
      </c>
      <c r="K458" s="369">
        <f ca="1">IFERROR(__xludf.DUMMYFUNCTION("""COMPUTED_VALUE"""),45752.1666666666)</f>
        <v>45752.166666666599</v>
      </c>
      <c r="L458" s="366">
        <f ca="1">IFERROR(__xludf.DUMMYFUNCTION("""COMPUTED_VALUE"""),45752.5833333333)</f>
        <v>45752.583333333299</v>
      </c>
      <c r="M458" s="360" t="str">
        <f ca="1">IFERROR(__xludf.DUMMYFUNCTION("""COMPUTED_VALUE"""),"06/05/2025 MORNING")</f>
        <v>06/05/2025 MORNING</v>
      </c>
    </row>
    <row r="459" spans="1:13" ht="18.75">
      <c r="A459" s="360" t="str">
        <f ca="1">IFERROR(__xludf.DUMMYFUNCTION("""COMPUTED_VALUE"""),"CVT")</f>
        <v>CVT</v>
      </c>
      <c r="B459" s="360" t="str">
        <f ca="1">IFERROR(__xludf.DUMMYFUNCTION("""COMPUTED_VALUE"""),"KMTC POHANG V.2504N")</f>
        <v>KMTC POHANG V.2504N</v>
      </c>
      <c r="C459" s="361" t="str">
        <f ca="1">IFERROR(__xludf.DUMMYFUNCTION("""COMPUTED_VALUE"""),"THBKK")</f>
        <v>THBKK</v>
      </c>
      <c r="D459" s="360" t="str">
        <f ca="1">IFERROR(__xludf.DUMMYFUNCTION("""COMPUTED_VALUE"""),"23/04/2025 18:00")</f>
        <v>23/04/2025 18:00</v>
      </c>
      <c r="E459" s="360" t="str">
        <f ca="1">IFERROR(__xludf.DUMMYFUNCTION("""COMPUTED_VALUE"""),"33.38 21/04/2025")</f>
        <v>33.38 21/04/2025</v>
      </c>
      <c r="F459" s="360" t="str">
        <f ca="1">IFERROR(__xludf.DUMMYFUNCTION("""COMPUTED_VALUE"""),"25/04/2025 13:00")</f>
        <v>25/04/2025 13:00</v>
      </c>
      <c r="G459" s="360" t="str">
        <f ca="1">IFERROR(__xludf.DUMMYFUNCTION("""COMPUTED_VALUE"""),"25/04/2025 15:00")</f>
        <v>25/04/2025 15:00</v>
      </c>
      <c r="H459" s="360" t="str">
        <f ca="1">IFERROR(__xludf.DUMMYFUNCTION("""COMPUTED_VALUE"""),"25/04/2025 13:00")</f>
        <v>25/04/2025 13:00</v>
      </c>
      <c r="I459" s="362" t="str">
        <f ca="1">IFERROR(__xludf.DUMMYFUNCTION("""COMPUTED_VALUE"""),"28/04/2025 15:00")</f>
        <v>28/04/2025 15:00</v>
      </c>
      <c r="J459" s="362" t="str">
        <f ca="1">IFERROR(__xludf.DUMMYFUNCTION("""COMPUTED_VALUE"""),"29/04/2025 16:00")</f>
        <v>29/04/2025 16:00</v>
      </c>
      <c r="K459" s="362" t="str">
        <f ca="1">IFERROR(__xludf.DUMMYFUNCTION("""COMPUTED_VALUE"""),"30/04/2025 02:30")</f>
        <v>30/04/2025 02:30</v>
      </c>
      <c r="L459" s="360" t="str">
        <f ca="1">IFERROR(__xludf.DUMMYFUNCTION("""COMPUTED_VALUE"""),"30/04/2025  03:00")</f>
        <v>30/04/2025  03:00</v>
      </c>
      <c r="M459" s="360" t="str">
        <f ca="1">IFERROR(__xludf.DUMMYFUNCTION("""COMPUTED_VALUE"""),"30/04/2025 NOON")</f>
        <v>30/04/2025 NOON</v>
      </c>
    </row>
    <row r="460" spans="1:13" ht="18.75">
      <c r="A460" s="360"/>
      <c r="B460" s="360"/>
      <c r="C460" s="361" t="str">
        <f ca="1">IFERROR(__xludf.DUMMYFUNCTION("""COMPUTED_VALUE"""),"THLCB")</f>
        <v>THLCB</v>
      </c>
      <c r="D460" s="360" t="str">
        <f ca="1">IFERROR(__xludf.DUMMYFUNCTION("""COMPUTED_VALUE"""),"24/04/2025 12:00")</f>
        <v>24/04/2025 12:00</v>
      </c>
      <c r="E460" s="360"/>
      <c r="F460" s="360" t="str">
        <f ca="1">IFERROR(__xludf.DUMMYFUNCTION("""COMPUTED_VALUE"""),"25/04/2025 13:00")</f>
        <v>25/04/2025 13:00</v>
      </c>
      <c r="G460" s="360" t="str">
        <f ca="1">IFERROR(__xludf.DUMMYFUNCTION("""COMPUTED_VALUE"""),"25/04/2025 15:00")</f>
        <v>25/04/2025 15:00</v>
      </c>
      <c r="H460" s="360" t="str">
        <f ca="1">IFERROR(__xludf.DUMMYFUNCTION("""COMPUTED_VALUE"""),"25/04/2025 13:00")</f>
        <v>25/04/2025 13:00</v>
      </c>
      <c r="I460" s="362" t="str">
        <f ca="1">IFERROR(__xludf.DUMMYFUNCTION("""COMPUTED_VALUE"""),"28/04/2025 15:00")</f>
        <v>28/04/2025 15:00</v>
      </c>
      <c r="J460" s="362" t="str">
        <f ca="1">IFERROR(__xludf.DUMMYFUNCTION("""COMPUTED_VALUE"""),"29/04/2025 16:00")</f>
        <v>29/04/2025 16:00</v>
      </c>
      <c r="K460" s="369">
        <f ca="1">IFERROR(__xludf.DUMMYFUNCTION("""COMPUTED_VALUE"""),45661.8958333333)</f>
        <v>45661.895833333299</v>
      </c>
      <c r="L460" s="366">
        <f ca="1">IFERROR(__xludf.DUMMYFUNCTION("""COMPUTED_VALUE"""),45662.2083333333)</f>
        <v>45662.208333333299</v>
      </c>
      <c r="M460" s="360" t="str">
        <f ca="1">IFERROR(__xludf.DUMMYFUNCTION("""COMPUTED_VALUE"""),"02/05/2025 MORNING")</f>
        <v>02/05/2025 MORNING</v>
      </c>
    </row>
    <row r="461" spans="1:13" ht="18.75">
      <c r="A461" s="360" t="str">
        <f ca="1">IFERROR(__xludf.DUMMYFUNCTION("""COMPUTED_VALUE"""),"NSP")</f>
        <v>NSP</v>
      </c>
      <c r="B461" s="360" t="str">
        <f ca="1">IFERROR(__xludf.DUMMYFUNCTION("""COMPUTED_VALUE"""),"TS KOBE V.25008N")</f>
        <v>TS KOBE V.25008N</v>
      </c>
      <c r="C461" s="361" t="str">
        <f ca="1">IFERROR(__xludf.DUMMYFUNCTION("""COMPUTED_VALUE"""),"THLCB")</f>
        <v>THLCB</v>
      </c>
      <c r="D461" s="360" t="str">
        <f ca="1">IFERROR(__xludf.DUMMYFUNCTION("""COMPUTED_VALUE"""),"25/04/2025 04:00")</f>
        <v>25/04/2025 04:00</v>
      </c>
      <c r="E461" s="360" t="str">
        <f ca="1">IFERROR(__xludf.DUMMYFUNCTION("""COMPUTED_VALUE"""),"33.49 22/04/2025")</f>
        <v>33.49 22/04/2025</v>
      </c>
      <c r="F461" s="360" t="str">
        <f ca="1">IFERROR(__xludf.DUMMYFUNCTION("""COMPUTED_VALUE"""),"29/04/2025 13:00")</f>
        <v>29/04/2025 13:00</v>
      </c>
      <c r="G461" s="360" t="str">
        <f ca="1">IFERROR(__xludf.DUMMYFUNCTION("""COMPUTED_VALUE"""),"30/04/2025 15:00")</f>
        <v>30/04/2025 15:00</v>
      </c>
      <c r="H461" s="360" t="str">
        <f ca="1">IFERROR(__xludf.DUMMYFUNCTION("""COMPUTED_VALUE"""),"30/04/2025 13:00")</f>
        <v>30/04/2025 13:00</v>
      </c>
      <c r="I461" s="362" t="str">
        <f ca="1">IFERROR(__xludf.DUMMYFUNCTION("""COMPUTED_VALUE"""),"30/04/2025 15:00")</f>
        <v>30/04/2025 15:00</v>
      </c>
      <c r="J461" s="362" t="str">
        <f ca="1">IFERROR(__xludf.DUMMYFUNCTION("""COMPUTED_VALUE"""),"30/04/2025 16:00")</f>
        <v>30/04/2025 16:00</v>
      </c>
      <c r="K461" s="369">
        <f ca="1">IFERROR(__xludf.DUMMYFUNCTION("""COMPUTED_VALUE"""),45693.75)</f>
        <v>45693.75</v>
      </c>
      <c r="L461" s="366">
        <f ca="1">IFERROR(__xludf.DUMMYFUNCTION("""COMPUTED_VALUE"""),45693.6875)</f>
        <v>45693.6875</v>
      </c>
      <c r="M461" s="360" t="str">
        <f ca="1">IFERROR(__xludf.DUMMYFUNCTION("""COMPUTED_VALUE"""),"06/05/2025 MORNING")</f>
        <v>06/05/2025 MORNING</v>
      </c>
    </row>
    <row r="462" spans="1:13" ht="18.75">
      <c r="A462" s="360"/>
      <c r="B462" s="360"/>
      <c r="C462" s="361"/>
      <c r="D462" s="360"/>
      <c r="E462" s="360"/>
      <c r="F462" s="360"/>
      <c r="G462" s="360"/>
      <c r="H462" s="360"/>
      <c r="I462" s="362"/>
      <c r="J462" s="362"/>
      <c r="K462" s="362"/>
      <c r="L462" s="360"/>
      <c r="M462" s="360"/>
    </row>
    <row r="463" spans="1:13" ht="18.75">
      <c r="A463" s="360"/>
      <c r="B463" s="360" t="str">
        <f ca="1">IFERROR(__xludf.DUMMYFUNCTION("""COMPUTED_VALUE"""),"WEEK 17/2025")</f>
        <v>WEEK 17/2025</v>
      </c>
      <c r="C463" s="361"/>
      <c r="D463" s="360"/>
      <c r="E463" s="360"/>
      <c r="F463" s="360"/>
      <c r="G463" s="360"/>
      <c r="H463" s="360"/>
      <c r="I463" s="362"/>
      <c r="J463" s="362"/>
      <c r="K463" s="362"/>
      <c r="L463" s="360"/>
      <c r="M463" s="360"/>
    </row>
    <row r="464" spans="1:13" ht="18.75">
      <c r="A464" s="360"/>
      <c r="B464" s="360"/>
      <c r="C464" s="361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464" s="360"/>
      <c r="E464" s="360"/>
      <c r="F464" s="360"/>
      <c r="G464" s="360"/>
      <c r="H464" s="360"/>
      <c r="I464" s="362"/>
      <c r="J464" s="362"/>
      <c r="K464" s="362"/>
      <c r="L464" s="360"/>
      <c r="M464" s="360"/>
    </row>
    <row r="465" spans="1:13" ht="18.75">
      <c r="A465" s="360" t="str">
        <f ca="1">IFERROR(__xludf.DUMMYFUNCTION("""COMPUTED_VALUE"""),"SERVICE")</f>
        <v>SERVICE</v>
      </c>
      <c r="B465" s="360" t="str">
        <f ca="1">IFERROR(__xludf.DUMMYFUNCTION("""COMPUTED_VALUE"""),"VESSEL NAME")</f>
        <v>VESSEL NAME</v>
      </c>
      <c r="C465" s="361" t="str">
        <f ca="1">IFERROR(__xludf.DUMMYFUNCTION("""COMPUTED_VALUE"""),"PORT")</f>
        <v>PORT</v>
      </c>
      <c r="D465" s="360" t="str">
        <f ca="1">IFERROR(__xludf.DUMMYFUNCTION("""COMPUTED_VALUE"""),"PERFOMA ETD")</f>
        <v>PERFOMA ETD</v>
      </c>
      <c r="E465" s="360" t="str">
        <f ca="1">IFERROR(__xludf.DUMMYFUNCTION("""COMPUTED_VALUE"""),"EX.RATE/DATE/")</f>
        <v>EX.RATE/DATE/</v>
      </c>
      <c r="F465" s="360" t="str">
        <f ca="1">IFERROR(__xludf.DUMMYFUNCTION("""COMPUTED_VALUE"""),"SI CUT OFF USA")</f>
        <v>SI CUT OFF USA</v>
      </c>
      <c r="G465" s="360" t="str">
        <f ca="1">IFERROR(__xludf.DUMMYFUNCTION("""COMPUTED_VALUE"""),"SI CUT OFF")</f>
        <v>SI CUT OFF</v>
      </c>
      <c r="H465" s="360" t="str">
        <f ca="1">IFERROR(__xludf.DUMMYFUNCTION("""COMPUTED_VALUE"""),"B/L CFM USA")</f>
        <v>B/L CFM USA</v>
      </c>
      <c r="I465" s="362" t="str">
        <f ca="1">IFERROR(__xludf.DUMMYFUNCTION("""COMPUTED_VALUE"""),"B/L CFM CHINA,JP,VN")</f>
        <v>B/L CFM CHINA,JP,VN</v>
      </c>
      <c r="J465" s="362" t="str">
        <f ca="1">IFERROR(__xludf.DUMMYFUNCTION("""COMPUTED_VALUE"""),"B/L CONFIRM")</f>
        <v>B/L CONFIRM</v>
      </c>
      <c r="K465" s="362" t="str">
        <f ca="1">IFERROR(__xludf.DUMMYFUNCTION("""COMPUTED_VALUE"""),"ETD")</f>
        <v>ETD</v>
      </c>
      <c r="L465" s="360" t="str">
        <f ca="1">IFERROR(__xludf.DUMMYFUNCTION("""COMPUTED_VALUE"""),"ATD")</f>
        <v>ATD</v>
      </c>
      <c r="M465" s="360" t="str">
        <f ca="1">IFERROR(__xludf.DUMMYFUNCTION("""COMPUTED_VALUE"""),"B/L ISSUED DATE")</f>
        <v>B/L ISSUED DATE</v>
      </c>
    </row>
    <row r="466" spans="1:13" ht="18.75">
      <c r="A466" s="360"/>
      <c r="B466" s="360"/>
      <c r="C466" s="361"/>
      <c r="D466" s="360"/>
      <c r="E466" s="360" t="str">
        <f ca="1">IFERROR(__xludf.DUMMYFUNCTION("""COMPUTED_VALUE"""),"BANGKOK BANK")</f>
        <v>BANGKOK BANK</v>
      </c>
      <c r="F466" s="360" t="str">
        <f ca="1">IFERROR(__xludf.DUMMYFUNCTION("""COMPUTED_VALUE"""),"4 days before ETD")</f>
        <v>4 days before ETD</v>
      </c>
      <c r="G466" s="360"/>
      <c r="H466" s="360" t="str">
        <f ca="1">IFERROR(__xludf.DUMMYFUNCTION("""COMPUTED_VALUE"""),"3 days before ETD")</f>
        <v>3 days before ETD</v>
      </c>
      <c r="I466" s="362" t="str">
        <f ca="1">IFERROR(__xludf.DUMMYFUNCTION("""COMPUTED_VALUE"""),"Direct port CUT OFF")</f>
        <v>Direct port CUT OFF</v>
      </c>
      <c r="J466" s="362" t="str">
        <f ca="1">IFERROR(__xludf.DUMMYFUNCTION("""COMPUTED_VALUE"""),"Orther port CUT OFF")</f>
        <v>Orther port CUT OFF</v>
      </c>
      <c r="K466" s="362" t="str">
        <f ca="1">IFERROR(__xludf.DUMMYFUNCTION("""COMPUTED_VALUE"""),"ON BOARD DATE")</f>
        <v>ON BOARD DATE</v>
      </c>
      <c r="L466" s="360" t="str">
        <f ca="1">IFERROR(__xludf.DUMMYFUNCTION("""COMPUTED_VALUE"""),"วันเรือออกจริง")</f>
        <v>วันเรือออกจริง</v>
      </c>
      <c r="M466" s="360" t="str">
        <f ca="1">IFERROR(__xludf.DUMMYFUNCTION("""COMPUTED_VALUE"""),"วันปล่อยบีแอล")</f>
        <v>วันปล่อยบีแอล</v>
      </c>
    </row>
    <row r="467" spans="1:13" ht="18.75">
      <c r="A467" s="360"/>
      <c r="B467" s="360"/>
      <c r="C467" s="361"/>
      <c r="D467" s="360"/>
      <c r="E467" s="360"/>
      <c r="F467" s="360"/>
      <c r="G467" s="360" t="str">
        <f ca="1">IFERROR(__xludf.DUMMYFUNCTION("""COMPUTED_VALUE"""),"3 days before ETD")</f>
        <v>3 days before ETD</v>
      </c>
      <c r="H467" s="360"/>
      <c r="I467" s="362" t="str">
        <f ca="1">IFERROR(__xludf.DUMMYFUNCTION("""COMPUTED_VALUE"""),"2 days before ETD")</f>
        <v>2 days before ETD</v>
      </c>
      <c r="J467" s="362" t="str">
        <f ca="1">IFERROR(__xludf.DUMMYFUNCTION("""COMPUTED_VALUE"""),"1 days before ETD")</f>
        <v>1 days before ETD</v>
      </c>
      <c r="K467" s="362" t="str">
        <f ca="1">IFERROR(__xludf.DUMMYFUNCTION("""COMPUTED_VALUE"""),"SHOW ON B/L")</f>
        <v>SHOW ON B/L</v>
      </c>
      <c r="L467" s="360"/>
      <c r="M467" s="360"/>
    </row>
    <row r="468" spans="1:13" ht="18.75">
      <c r="A468" s="360" t="str">
        <f ca="1">IFERROR(__xludf.DUMMYFUNCTION("""COMPUTED_VALUE"""),"JHTS")</f>
        <v>JHTS</v>
      </c>
      <c r="B468" s="360" t="str">
        <f ca="1">IFERROR(__xludf.DUMMYFUNCTION("""COMPUTED_VALUE"""),"TS KWANGYANG V.25003N")</f>
        <v>TS KWANGYANG V.25003N</v>
      </c>
      <c r="C468" s="361" t="str">
        <f ca="1">IFERROR(__xludf.DUMMYFUNCTION("""COMPUTED_VALUE"""),"THBKK")</f>
        <v>THBKK</v>
      </c>
      <c r="D468" s="360" t="str">
        <f ca="1">IFERROR(__xludf.DUMMYFUNCTION("""COMPUTED_VALUE"""),"20/04/2025 06:00")</f>
        <v>20/04/2025 06:00</v>
      </c>
      <c r="E468" s="360" t="str">
        <f ca="1">IFERROR(__xludf.DUMMYFUNCTION("""COMPUTED_VALUE"""),"33.83  11/04/2025")</f>
        <v>33.83  11/04/2025</v>
      </c>
      <c r="F468" s="360" t="str">
        <f ca="1">IFERROR(__xludf.DUMMYFUNCTION("""COMPUTED_VALUE"""),"17/04/2025 13:00")</f>
        <v>17/04/2025 13:00</v>
      </c>
      <c r="G468" s="360" t="str">
        <f ca="1">IFERROR(__xludf.DUMMYFUNCTION("""COMPUTED_VALUE"""),"18/04/2025 15:00")</f>
        <v>18/04/2025 15:00</v>
      </c>
      <c r="H468" s="360" t="str">
        <f ca="1">IFERROR(__xludf.DUMMYFUNCTION("""COMPUTED_VALUE"""),"18/04/2025 13:00")</f>
        <v>18/04/2025 13:00</v>
      </c>
      <c r="I468" s="362" t="str">
        <f ca="1">IFERROR(__xludf.DUMMYFUNCTION("""COMPUTED_VALUE"""),"19/04/2025 15:00")</f>
        <v>19/04/2025 15:00</v>
      </c>
      <c r="J468" s="362" t="str">
        <f ca="1">IFERROR(__xludf.DUMMYFUNCTION("""COMPUTED_VALUE"""),"21/04/2025 16:00")</f>
        <v>21/04/2025 16:00</v>
      </c>
      <c r="K468" s="362" t="str">
        <f ca="1">IFERROR(__xludf.DUMMYFUNCTION("""COMPUTED_VALUE"""),"21/04/2025 20:00")</f>
        <v>21/04/2025 20:00</v>
      </c>
      <c r="L468" s="360" t="str">
        <f ca="1">IFERROR(__xludf.DUMMYFUNCTION("""COMPUTED_VALUE"""),"21/04/2025  20:00")</f>
        <v>21/04/2025  20:00</v>
      </c>
      <c r="M468" s="360" t="str">
        <f ca="1">IFERROR(__xludf.DUMMYFUNCTION("""COMPUTED_VALUE"""),"22/04/2025 MORNING")</f>
        <v>22/04/2025 MORNING</v>
      </c>
    </row>
    <row r="469" spans="1:13" ht="18.75">
      <c r="A469" s="360"/>
      <c r="B469" s="360"/>
      <c r="C469" s="361" t="str">
        <f ca="1">IFERROR(__xludf.DUMMYFUNCTION("""COMPUTED_VALUE"""),"THLCB")</f>
        <v>THLCB</v>
      </c>
      <c r="D469" s="360" t="str">
        <f ca="1">IFERROR(__xludf.DUMMYFUNCTION("""COMPUTED_VALUE"""),"21/04/2025 06:00")</f>
        <v>21/04/2025 06:00</v>
      </c>
      <c r="E469" s="360"/>
      <c r="F469" s="360" t="str">
        <f ca="1">IFERROR(__xludf.DUMMYFUNCTION("""COMPUTED_VALUE"""),"19/04/2025 13:00")</f>
        <v>19/04/2025 13:00</v>
      </c>
      <c r="G469" s="360" t="str">
        <f ca="1">IFERROR(__xludf.DUMMYFUNCTION("""COMPUTED_VALUE"""),"20/04/2025 15:00")</f>
        <v>20/04/2025 15:00</v>
      </c>
      <c r="H469" s="360" t="str">
        <f ca="1">IFERROR(__xludf.DUMMYFUNCTION("""COMPUTED_VALUE"""),"20/04/2025 13:00")</f>
        <v>20/04/2025 13:00</v>
      </c>
      <c r="I469" s="362" t="str">
        <f ca="1">IFERROR(__xludf.DUMMYFUNCTION("""COMPUTED_VALUE"""),"21/04/2025 15:00")</f>
        <v>21/04/2025 15:00</v>
      </c>
      <c r="J469" s="362" t="str">
        <f ca="1">IFERROR(__xludf.DUMMYFUNCTION("""COMPUTED_VALUE"""),"22/04/2025 16:00")</f>
        <v>22/04/2025 16:00</v>
      </c>
      <c r="K469" s="362" t="str">
        <f ca="1">IFERROR(__xludf.DUMMYFUNCTION("""COMPUTED_VALUE"""),"23/04/2025 02:00")</f>
        <v>23/04/2025 02:00</v>
      </c>
      <c r="L469" s="360" t="str">
        <f ca="1">IFERROR(__xludf.DUMMYFUNCTION("""COMPUTED_VALUE"""),"23/04/2025  07:00")</f>
        <v>23/04/2025  07:00</v>
      </c>
      <c r="M469" s="360" t="str">
        <f ca="1">IFERROR(__xludf.DUMMYFUNCTION("""COMPUTED_VALUE"""),"23/04/2025 NOON")</f>
        <v>23/04/2025 NOON</v>
      </c>
    </row>
    <row r="470" spans="1:13" ht="18.75">
      <c r="A470" s="360" t="str">
        <f ca="1">IFERROR(__xludf.DUMMYFUNCTION("""COMPUTED_VALUE"""),"TRX")</f>
        <v>TRX</v>
      </c>
      <c r="B470" s="360" t="str">
        <f ca="1">IFERROR(__xludf.DUMMYFUNCTION("""COMPUTED_VALUE"""),"TS NAGOYA V.25006N")</f>
        <v>TS NAGOYA V.25006N</v>
      </c>
      <c r="C470" s="361" t="str">
        <f ca="1">IFERROR(__xludf.DUMMYFUNCTION("""COMPUTED_VALUE"""),"THBKK")</f>
        <v>THBKK</v>
      </c>
      <c r="D470" s="360" t="str">
        <f ca="1">IFERROR(__xludf.DUMMYFUNCTION("""COMPUTED_VALUE"""),"22/04/2025 19:30")</f>
        <v>22/04/2025 19:30</v>
      </c>
      <c r="E470" s="360" t="str">
        <f ca="1">IFERROR(__xludf.DUMMYFUNCTION("""COMPUTED_VALUE"""),"33.83  11/04/2025")</f>
        <v>33.83  11/04/2025</v>
      </c>
      <c r="F470" s="360" t="str">
        <f ca="1">IFERROR(__xludf.DUMMYFUNCTION("""COMPUTED_VALUE"""),"19/04/2025 13:00")</f>
        <v>19/04/2025 13:00</v>
      </c>
      <c r="G470" s="360" t="str">
        <f ca="1">IFERROR(__xludf.DUMMYFUNCTION("""COMPUTED_VALUE"""),"20/04/2025 15:00")</f>
        <v>20/04/2025 15:00</v>
      </c>
      <c r="H470" s="360" t="str">
        <f ca="1">IFERROR(__xludf.DUMMYFUNCTION("""COMPUTED_VALUE"""),"20/04/2025 13:00")</f>
        <v>20/04/2025 13:00</v>
      </c>
      <c r="I470" s="362" t="str">
        <f ca="1">IFERROR(__xludf.DUMMYFUNCTION("""COMPUTED_VALUE"""),"21/04/2025 15:00")</f>
        <v>21/04/2025 15:00</v>
      </c>
      <c r="J470" s="362" t="str">
        <f ca="1">IFERROR(__xludf.DUMMYFUNCTION("""COMPUTED_VALUE"""),"22/04/2025 16:00")</f>
        <v>22/04/2025 16:00</v>
      </c>
      <c r="K470" s="362" t="str">
        <f ca="1">IFERROR(__xludf.DUMMYFUNCTION("""COMPUTED_VALUE"""),"23/04/2025 12:00")</f>
        <v>23/04/2025 12:00</v>
      </c>
      <c r="L470" s="360" t="str">
        <f ca="1">IFERROR(__xludf.DUMMYFUNCTION("""COMPUTED_VALUE"""),"23/04/2025  06:00")</f>
        <v>23/04/2025  06:00</v>
      </c>
      <c r="M470" s="360" t="str">
        <f ca="1">IFERROR(__xludf.DUMMYFUNCTION("""COMPUTED_VALUE"""),"23/04/2025 NOON")</f>
        <v>23/04/2025 NOON</v>
      </c>
    </row>
    <row r="471" spans="1:13" ht="18.75">
      <c r="A471" s="360"/>
      <c r="B471" s="360"/>
      <c r="C471" s="361" t="str">
        <f ca="1">IFERROR(__xludf.DUMMYFUNCTION("""COMPUTED_VALUE"""),"THLCB")</f>
        <v>THLCB</v>
      </c>
      <c r="D471" s="360" t="str">
        <f ca="1">IFERROR(__xludf.DUMMYFUNCTION("""COMPUTED_VALUE"""),"24/04/2025 09:00")</f>
        <v>24/04/2025 09:00</v>
      </c>
      <c r="E471" s="360"/>
      <c r="F471" s="360" t="str">
        <f ca="1">IFERROR(__xludf.DUMMYFUNCTION("""COMPUTED_VALUE"""),"19/04/2025 13:00")</f>
        <v>19/04/2025 13:00</v>
      </c>
      <c r="G471" s="360" t="str">
        <f ca="1">IFERROR(__xludf.DUMMYFUNCTION("""COMPUTED_VALUE"""),"21/04/2025 15:00")</f>
        <v>21/04/2025 15:00</v>
      </c>
      <c r="H471" s="360" t="str">
        <f ca="1">IFERROR(__xludf.DUMMYFUNCTION("""COMPUTED_VALUE"""),"21/04/2025 13:00")</f>
        <v>21/04/2025 13:00</v>
      </c>
      <c r="I471" s="362" t="str">
        <f ca="1">IFERROR(__xludf.DUMMYFUNCTION("""COMPUTED_VALUE"""),"22/04/2025 15:00")</f>
        <v>22/04/2025 15:00</v>
      </c>
      <c r="J471" s="362" t="str">
        <f ca="1">IFERROR(__xludf.DUMMYFUNCTION("""COMPUTED_VALUE"""),"23/04/2025 16:00")</f>
        <v>23/04/2025 16:00</v>
      </c>
      <c r="K471" s="362" t="str">
        <f ca="1">IFERROR(__xludf.DUMMYFUNCTION("""COMPUTED_VALUE"""),"24/04/2025 09:00")</f>
        <v>24/04/2025 09:00</v>
      </c>
      <c r="L471" s="360" t="str">
        <f ca="1">IFERROR(__xludf.DUMMYFUNCTION("""COMPUTED_VALUE"""),"24/04/2025  04:12")</f>
        <v>24/04/2025  04:12</v>
      </c>
      <c r="M471" s="360" t="str">
        <f ca="1">IFERROR(__xludf.DUMMYFUNCTION("""COMPUTED_VALUE"""),"24/04/2025 NOON")</f>
        <v>24/04/2025 NOON</v>
      </c>
    </row>
    <row r="472" spans="1:13" ht="18.75">
      <c r="A472" s="360"/>
      <c r="B472" s="360"/>
      <c r="C472" s="361"/>
      <c r="D472" s="360"/>
      <c r="E472" s="360"/>
      <c r="F472" s="360"/>
      <c r="G472" s="360"/>
      <c r="H472" s="360"/>
      <c r="I472" s="362"/>
      <c r="J472" s="362"/>
      <c r="K472" s="362"/>
      <c r="L472" s="360"/>
      <c r="M472" s="360"/>
    </row>
    <row r="473" spans="1:13" ht="18.75">
      <c r="A473" s="360"/>
      <c r="B473" s="360" t="str">
        <f ca="1">IFERROR(__xludf.DUMMYFUNCTION("""COMPUTED_VALUE"""),"WEEK 16/2025")</f>
        <v>WEEK 16/2025</v>
      </c>
      <c r="C473" s="361" t="str">
        <f ca="1">IFERROR(__xludf.DUMMYFUNCTION("""COMPUTED_VALUE"""),"14-16 Holidays Sonkran Day")</f>
        <v>14-16 Holidays Sonkran Day</v>
      </c>
      <c r="D473" s="360"/>
      <c r="E473" s="360"/>
      <c r="F473" s="360"/>
      <c r="G473" s="360"/>
      <c r="H473" s="360"/>
      <c r="I473" s="362"/>
      <c r="J473" s="362"/>
      <c r="K473" s="362"/>
      <c r="L473" s="360"/>
      <c r="M473" s="360"/>
    </row>
    <row r="474" spans="1:13" ht="18.75">
      <c r="A474" s="360"/>
      <c r="B474" s="360"/>
      <c r="C474" s="361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474" s="360"/>
      <c r="E474" s="360"/>
      <c r="F474" s="360"/>
      <c r="G474" s="360"/>
      <c r="H474" s="360"/>
      <c r="I474" s="362"/>
      <c r="J474" s="362"/>
      <c r="K474" s="362"/>
      <c r="L474" s="360"/>
      <c r="M474" s="360"/>
    </row>
    <row r="475" spans="1:13" ht="18.75">
      <c r="A475" s="360" t="str">
        <f ca="1">IFERROR(__xludf.DUMMYFUNCTION("""COMPUTED_VALUE"""),"SERVICE")</f>
        <v>SERVICE</v>
      </c>
      <c r="B475" s="360" t="str">
        <f ca="1">IFERROR(__xludf.DUMMYFUNCTION("""COMPUTED_VALUE"""),"VESSEL NAME")</f>
        <v>VESSEL NAME</v>
      </c>
      <c r="C475" s="361" t="str">
        <f ca="1">IFERROR(__xludf.DUMMYFUNCTION("""COMPUTED_VALUE"""),"PORT")</f>
        <v>PORT</v>
      </c>
      <c r="D475" s="360" t="str">
        <f ca="1">IFERROR(__xludf.DUMMYFUNCTION("""COMPUTED_VALUE"""),"PERFOMA ETD")</f>
        <v>PERFOMA ETD</v>
      </c>
      <c r="E475" s="360" t="str">
        <f ca="1">IFERROR(__xludf.DUMMYFUNCTION("""COMPUTED_VALUE"""),"EX.RATE/DATE/")</f>
        <v>EX.RATE/DATE/</v>
      </c>
      <c r="F475" s="360" t="str">
        <f ca="1">IFERROR(__xludf.DUMMYFUNCTION("""COMPUTED_VALUE"""),"SI CUT OFF USA")</f>
        <v>SI CUT OFF USA</v>
      </c>
      <c r="G475" s="360" t="str">
        <f ca="1">IFERROR(__xludf.DUMMYFUNCTION("""COMPUTED_VALUE"""),"SI CUT OFF")</f>
        <v>SI CUT OFF</v>
      </c>
      <c r="H475" s="360" t="str">
        <f ca="1">IFERROR(__xludf.DUMMYFUNCTION("""COMPUTED_VALUE"""),"B/L CFM USA")</f>
        <v>B/L CFM USA</v>
      </c>
      <c r="I475" s="362" t="str">
        <f ca="1">IFERROR(__xludf.DUMMYFUNCTION("""COMPUTED_VALUE"""),"B/L CFM CHINA,JP,VN")</f>
        <v>B/L CFM CHINA,JP,VN</v>
      </c>
      <c r="J475" s="362" t="str">
        <f ca="1">IFERROR(__xludf.DUMMYFUNCTION("""COMPUTED_VALUE"""),"B/L CONFIRM")</f>
        <v>B/L CONFIRM</v>
      </c>
      <c r="K475" s="362" t="str">
        <f ca="1">IFERROR(__xludf.DUMMYFUNCTION("""COMPUTED_VALUE"""),"ETD")</f>
        <v>ETD</v>
      </c>
      <c r="L475" s="360" t="str">
        <f ca="1">IFERROR(__xludf.DUMMYFUNCTION("""COMPUTED_VALUE"""),"ATD")</f>
        <v>ATD</v>
      </c>
      <c r="M475" s="360" t="str">
        <f ca="1">IFERROR(__xludf.DUMMYFUNCTION("""COMPUTED_VALUE"""),"B/L ISSUED DATE")</f>
        <v>B/L ISSUED DATE</v>
      </c>
    </row>
    <row r="476" spans="1:13" ht="18.75">
      <c r="A476" s="360"/>
      <c r="B476" s="360"/>
      <c r="C476" s="361"/>
      <c r="D476" s="360"/>
      <c r="E476" s="360" t="str">
        <f ca="1">IFERROR(__xludf.DUMMYFUNCTION("""COMPUTED_VALUE"""),"BANGKOK BANK")</f>
        <v>BANGKOK BANK</v>
      </c>
      <c r="F476" s="360" t="str">
        <f ca="1">IFERROR(__xludf.DUMMYFUNCTION("""COMPUTED_VALUE"""),"4 days before ETD")</f>
        <v>4 days before ETD</v>
      </c>
      <c r="G476" s="360"/>
      <c r="H476" s="360" t="str">
        <f ca="1">IFERROR(__xludf.DUMMYFUNCTION("""COMPUTED_VALUE"""),"3 days before ETD")</f>
        <v>3 days before ETD</v>
      </c>
      <c r="I476" s="362" t="str">
        <f ca="1">IFERROR(__xludf.DUMMYFUNCTION("""COMPUTED_VALUE"""),"Direct port CUT OFF")</f>
        <v>Direct port CUT OFF</v>
      </c>
      <c r="J476" s="362" t="str">
        <f ca="1">IFERROR(__xludf.DUMMYFUNCTION("""COMPUTED_VALUE"""),"Orther port CUT OFF")</f>
        <v>Orther port CUT OFF</v>
      </c>
      <c r="K476" s="362" t="str">
        <f ca="1">IFERROR(__xludf.DUMMYFUNCTION("""COMPUTED_VALUE"""),"ON BOARD DATE")</f>
        <v>ON BOARD DATE</v>
      </c>
      <c r="L476" s="360" t="str">
        <f ca="1">IFERROR(__xludf.DUMMYFUNCTION("""COMPUTED_VALUE"""),"วันเรือออกจริง")</f>
        <v>วันเรือออกจริง</v>
      </c>
      <c r="M476" s="360" t="str">
        <f ca="1">IFERROR(__xludf.DUMMYFUNCTION("""COMPUTED_VALUE"""),"วันปล่อยบีแอล")</f>
        <v>วันปล่อยบีแอล</v>
      </c>
    </row>
    <row r="477" spans="1:13" ht="18.75">
      <c r="A477" s="360"/>
      <c r="B477" s="360"/>
      <c r="C477" s="361"/>
      <c r="D477" s="360"/>
      <c r="E477" s="360"/>
      <c r="F477" s="360"/>
      <c r="G477" s="360" t="str">
        <f ca="1">IFERROR(__xludf.DUMMYFUNCTION("""COMPUTED_VALUE"""),"3 days before ETD")</f>
        <v>3 days before ETD</v>
      </c>
      <c r="H477" s="360"/>
      <c r="I477" s="362" t="str">
        <f ca="1">IFERROR(__xludf.DUMMYFUNCTION("""COMPUTED_VALUE"""),"2 days before ETD")</f>
        <v>2 days before ETD</v>
      </c>
      <c r="J477" s="362" t="str">
        <f ca="1">IFERROR(__xludf.DUMMYFUNCTION("""COMPUTED_VALUE"""),"1 days before ETD")</f>
        <v>1 days before ETD</v>
      </c>
      <c r="K477" s="362" t="str">
        <f ca="1">IFERROR(__xludf.DUMMYFUNCTION("""COMPUTED_VALUE"""),"SHOW ON B/L")</f>
        <v>SHOW ON B/L</v>
      </c>
      <c r="L477" s="360"/>
      <c r="M477" s="360"/>
    </row>
    <row r="478" spans="1:13" ht="18.75">
      <c r="A478" s="360" t="str">
        <f ca="1">IFERROR(__xludf.DUMMYFUNCTION("""COMPUTED_VALUE"""),"JHTS")</f>
        <v>JHTS</v>
      </c>
      <c r="B478" s="360" t="str">
        <f ca="1">IFERROR(__xludf.DUMMYFUNCTION("""COMPUTED_VALUE"""),"TS KOBE V.25007N")</f>
        <v>TS KOBE V.25007N</v>
      </c>
      <c r="C478" s="361" t="str">
        <f ca="1">IFERROR(__xludf.DUMMYFUNCTION("""COMPUTED_VALUE"""),"THBKK")</f>
        <v>THBKK</v>
      </c>
      <c r="D478" s="360" t="str">
        <f ca="1">IFERROR(__xludf.DUMMYFUNCTION("""COMPUTED_VALUE"""),"13/04/2025 06:00")</f>
        <v>13/04/2025 06:00</v>
      </c>
      <c r="E478" s="360" t="str">
        <f ca="1">IFERROR(__xludf.DUMMYFUNCTION("""COMPUTED_VALUE"""),"34.43 04/04/2025")</f>
        <v>34.43 04/04/2025</v>
      </c>
      <c r="F478" s="366">
        <f ca="1">IFERROR(__xludf.DUMMYFUNCTION("""COMPUTED_VALUE"""),45904.5416666666)</f>
        <v>45904.541666666599</v>
      </c>
      <c r="G478" s="366">
        <f ca="1">IFERROR(__xludf.DUMMYFUNCTION("""COMPUTED_VALUE"""),45934.625)</f>
        <v>45934.625</v>
      </c>
      <c r="H478" s="366">
        <f ca="1">IFERROR(__xludf.DUMMYFUNCTION("""COMPUTED_VALUE"""),45934.5416666666)</f>
        <v>45934.541666666599</v>
      </c>
      <c r="I478" s="369">
        <f ca="1">IFERROR(__xludf.DUMMYFUNCTION("""COMPUTED_VALUE"""),45965.625)</f>
        <v>45965.625</v>
      </c>
      <c r="J478" s="369">
        <f ca="1">IFERROR(__xludf.DUMMYFUNCTION("""COMPUTED_VALUE"""),45965.6666666666)</f>
        <v>45965.666666666599</v>
      </c>
      <c r="K478" s="362" t="str">
        <f ca="1">IFERROR(__xludf.DUMMYFUNCTION("""COMPUTED_VALUE"""),"15/04/2025 05:00")</f>
        <v>15/04/2025 05:00</v>
      </c>
      <c r="L478" s="360" t="str">
        <f ca="1">IFERROR(__xludf.DUMMYFUNCTION("""COMPUTED_VALUE"""),"15/04/2025  04:00")</f>
        <v>15/04/2025  04:00</v>
      </c>
      <c r="M478" s="360" t="str">
        <f ca="1">IFERROR(__xludf.DUMMYFUNCTION("""COMPUTED_VALUE"""),"17/04/2025 MORNING")</f>
        <v>17/04/2025 MORNING</v>
      </c>
    </row>
    <row r="479" spans="1:13" ht="18.75">
      <c r="A479" s="360"/>
      <c r="B479" s="360"/>
      <c r="C479" s="361" t="str">
        <f ca="1">IFERROR(__xludf.DUMMYFUNCTION("""COMPUTED_VALUE"""),"THLCB")</f>
        <v>THLCB</v>
      </c>
      <c r="D479" s="360" t="str">
        <f ca="1">IFERROR(__xludf.DUMMYFUNCTION("""COMPUTED_VALUE"""),"14/04/2025 06:00")</f>
        <v>14/04/2025 06:00</v>
      </c>
      <c r="E479" s="360"/>
      <c r="F479" s="366">
        <f ca="1">IFERROR(__xludf.DUMMYFUNCTION("""COMPUTED_VALUE"""),45904.5416666666)</f>
        <v>45904.541666666599</v>
      </c>
      <c r="G479" s="366">
        <f ca="1">IFERROR(__xludf.DUMMYFUNCTION("""COMPUTED_VALUE"""),45934.625)</f>
        <v>45934.625</v>
      </c>
      <c r="H479" s="366">
        <f ca="1">IFERROR(__xludf.DUMMYFUNCTION("""COMPUTED_VALUE"""),45934.5416666666)</f>
        <v>45934.541666666599</v>
      </c>
      <c r="I479" s="369">
        <f ca="1">IFERROR(__xludf.DUMMYFUNCTION("""COMPUTED_VALUE"""),45965.625)</f>
        <v>45965.625</v>
      </c>
      <c r="J479" s="369">
        <f ca="1">IFERROR(__xludf.DUMMYFUNCTION("""COMPUTED_VALUE"""),45965.6666666666)</f>
        <v>45965.666666666599</v>
      </c>
      <c r="K479" s="362" t="str">
        <f ca="1">IFERROR(__xludf.DUMMYFUNCTION("""COMPUTED_VALUE"""),"16/04/2025 07:00")</f>
        <v>16/04/2025 07:00</v>
      </c>
      <c r="L479" s="360" t="str">
        <f ca="1">IFERROR(__xludf.DUMMYFUNCTION("""COMPUTED_VALUE"""),"16/04/2025  09:00")</f>
        <v>16/04/2025  09:00</v>
      </c>
      <c r="M479" s="360" t="str">
        <f ca="1">IFERROR(__xludf.DUMMYFUNCTION("""COMPUTED_VALUE"""),"17/04/2025 MORNING")</f>
        <v>17/04/2025 MORNING</v>
      </c>
    </row>
    <row r="480" spans="1:13" ht="18.75">
      <c r="A480" s="360" t="str">
        <f ca="1">IFERROR(__xludf.DUMMYFUNCTION("""COMPUTED_VALUE"""),"TRX")</f>
        <v>TRX</v>
      </c>
      <c r="B480" s="360" t="str">
        <f ca="1">IFERROR(__xludf.DUMMYFUNCTION("""COMPUTED_VALUE"""),"LITTLE WARRIOR V.015N")</f>
        <v>LITTLE WARRIOR V.015N</v>
      </c>
      <c r="C480" s="361" t="str">
        <f ca="1">IFERROR(__xludf.DUMMYFUNCTION("""COMPUTED_VALUE"""),"THBKK")</f>
        <v>THBKK</v>
      </c>
      <c r="D480" s="360" t="str">
        <f ca="1">IFERROR(__xludf.DUMMYFUNCTION("""COMPUTED_VALUE"""),"15/04/2025 19:30")</f>
        <v>15/04/2025 19:30</v>
      </c>
      <c r="E480" s="360" t="str">
        <f ca="1">IFERROR(__xludf.DUMMYFUNCTION("""COMPUTED_VALUE"""),"34.43 04/04/2025")</f>
        <v>34.43 04/04/2025</v>
      </c>
      <c r="F480" s="366">
        <f ca="1">IFERROR(__xludf.DUMMYFUNCTION("""COMPUTED_VALUE"""),45904.5416666666)</f>
        <v>45904.541666666599</v>
      </c>
      <c r="G480" s="366">
        <f ca="1">IFERROR(__xludf.DUMMYFUNCTION("""COMPUTED_VALUE"""),45934.625)</f>
        <v>45934.625</v>
      </c>
      <c r="H480" s="366">
        <f ca="1">IFERROR(__xludf.DUMMYFUNCTION("""COMPUTED_VALUE"""),45934.5416666666)</f>
        <v>45934.541666666599</v>
      </c>
      <c r="I480" s="369">
        <f ca="1">IFERROR(__xludf.DUMMYFUNCTION("""COMPUTED_VALUE"""),45965.625)</f>
        <v>45965.625</v>
      </c>
      <c r="J480" s="369">
        <f ca="1">IFERROR(__xludf.DUMMYFUNCTION("""COMPUTED_VALUE"""),45965.6666666666)</f>
        <v>45965.666666666599</v>
      </c>
      <c r="K480" s="362" t="str">
        <f ca="1">IFERROR(__xludf.DUMMYFUNCTION("""COMPUTED_VALUE"""),"16/04/2025 19:00")</f>
        <v>16/04/2025 19:00</v>
      </c>
      <c r="L480" s="360" t="str">
        <f ca="1">IFERROR(__xludf.DUMMYFUNCTION("""COMPUTED_VALUE"""),"16/04/2025  20:00")</f>
        <v>16/04/2025  20:00</v>
      </c>
      <c r="M480" s="360" t="str">
        <f ca="1">IFERROR(__xludf.DUMMYFUNCTION("""COMPUTED_VALUE"""),"17/04/2025 MORNING")</f>
        <v>17/04/2025 MORNING</v>
      </c>
    </row>
    <row r="481" spans="1:13" ht="18.75">
      <c r="A481" s="360"/>
      <c r="B481" s="360"/>
      <c r="C481" s="361" t="str">
        <f ca="1">IFERROR(__xludf.DUMMYFUNCTION("""COMPUTED_VALUE"""),"THLCB")</f>
        <v>THLCB</v>
      </c>
      <c r="D481" s="360" t="str">
        <f ca="1">IFERROR(__xludf.DUMMYFUNCTION("""COMPUTED_VALUE"""),"17/04/2025 09:00")</f>
        <v>17/04/2025 09:00</v>
      </c>
      <c r="E481" s="360"/>
      <c r="F481" s="366">
        <f ca="1">IFERROR(__xludf.DUMMYFUNCTION("""COMPUTED_VALUE"""),45904.5416666666)</f>
        <v>45904.541666666599</v>
      </c>
      <c r="G481" s="366">
        <f ca="1">IFERROR(__xludf.DUMMYFUNCTION("""COMPUTED_VALUE"""),45934.625)</f>
        <v>45934.625</v>
      </c>
      <c r="H481" s="366">
        <f ca="1">IFERROR(__xludf.DUMMYFUNCTION("""COMPUTED_VALUE"""),45934.5416666666)</f>
        <v>45934.541666666599</v>
      </c>
      <c r="I481" s="369">
        <f ca="1">IFERROR(__xludf.DUMMYFUNCTION("""COMPUTED_VALUE"""),45965.625)</f>
        <v>45965.625</v>
      </c>
      <c r="J481" s="369">
        <f ca="1">IFERROR(__xludf.DUMMYFUNCTION("""COMPUTED_VALUE"""),45965.6666666666)</f>
        <v>45965.666666666599</v>
      </c>
      <c r="K481" s="362" t="str">
        <f ca="1">IFERROR(__xludf.DUMMYFUNCTION("""COMPUTED_VALUE"""),"17/04/2025 16:00")</f>
        <v>17/04/2025 16:00</v>
      </c>
      <c r="L481" s="360" t="str">
        <f ca="1">IFERROR(__xludf.DUMMYFUNCTION("""COMPUTED_VALUE"""),"17/04/2025  17:48")</f>
        <v>17/04/2025  17:48</v>
      </c>
      <c r="M481" s="360" t="str">
        <f ca="1">IFERROR(__xludf.DUMMYFUNCTION("""COMPUTED_VALUE"""),"18/04/2025 MORNING")</f>
        <v>18/04/2025 MORNING</v>
      </c>
    </row>
    <row r="482" spans="1:13" ht="18.75">
      <c r="A482" s="360" t="str">
        <f ca="1">IFERROR(__xludf.DUMMYFUNCTION("""COMPUTED_VALUE"""),"CHT")</f>
        <v>CHT</v>
      </c>
      <c r="B482" s="360" t="str">
        <f ca="1">IFERROR(__xludf.DUMMYFUNCTION("""COMPUTED_VALUE"""),"SAWASDEE RIGEL V.2504N")</f>
        <v>SAWASDEE RIGEL V.2504N</v>
      </c>
      <c r="C482" s="361" t="str">
        <f ca="1">IFERROR(__xludf.DUMMYFUNCTION("""COMPUTED_VALUE"""),"THBKK")</f>
        <v>THBKK</v>
      </c>
      <c r="D482" s="366">
        <f ca="1">IFERROR(__xludf.DUMMYFUNCTION("""COMPUTED_VALUE"""),45904.75)</f>
        <v>45904.75</v>
      </c>
      <c r="E482" s="360" t="str">
        <f ca="1">IFERROR(__xludf.DUMMYFUNCTION("""COMPUTED_VALUE"""),"34.49  10/04/2025")</f>
        <v>34.49  10/04/2025</v>
      </c>
      <c r="F482" s="360" t="str">
        <f ca="1">IFERROR(__xludf.DUMMYFUNCTION("""COMPUTED_VALUE"""),"16/04/2025 13:00")</f>
        <v>16/04/2025 13:00</v>
      </c>
      <c r="G482" s="360" t="str">
        <f ca="1">IFERROR(__xludf.DUMMYFUNCTION("""COMPUTED_VALUE"""),"16/04/2025 15:00")</f>
        <v>16/04/2025 15:00</v>
      </c>
      <c r="H482" s="360" t="str">
        <f ca="1">IFERROR(__xludf.DUMMYFUNCTION("""COMPUTED_VALUE"""),"17/04/2025 13:00")</f>
        <v>17/04/2025 13:00</v>
      </c>
      <c r="I482" s="362" t="str">
        <f ca="1">IFERROR(__xludf.DUMMYFUNCTION("""COMPUTED_VALUE"""),"17/04/2025 15:00")</f>
        <v>17/04/2025 15:00</v>
      </c>
      <c r="J482" s="362" t="str">
        <f ca="1">IFERROR(__xludf.DUMMYFUNCTION("""COMPUTED_VALUE"""),"18/04/2025 16:00")</f>
        <v>18/04/2025 16:00</v>
      </c>
      <c r="K482" s="362" t="str">
        <f ca="1">IFERROR(__xludf.DUMMYFUNCTION("""COMPUTED_VALUE"""),"19/04/2025 05:30")</f>
        <v>19/04/2025 05:30</v>
      </c>
      <c r="L482" s="360" t="str">
        <f ca="1">IFERROR(__xludf.DUMMYFUNCTION("""COMPUTED_VALUE"""),"19/04/2025  18:00")</f>
        <v>19/04/2025  18:00</v>
      </c>
      <c r="M482" s="360" t="str">
        <f ca="1">IFERROR(__xludf.DUMMYFUNCTION("""COMPUTED_VALUE"""),"21/04/2025 MORNING")</f>
        <v>21/04/2025 MORNING</v>
      </c>
    </row>
    <row r="483" spans="1:13" ht="18.75">
      <c r="A483" s="360"/>
      <c r="B483" s="360"/>
      <c r="C483" s="361" t="str">
        <f ca="1">IFERROR(__xludf.DUMMYFUNCTION("""COMPUTED_VALUE"""),"THLCB")</f>
        <v>THLCB</v>
      </c>
      <c r="D483" s="366">
        <f ca="1">IFERROR(__xludf.DUMMYFUNCTION("""COMPUTED_VALUE"""),45934.5)</f>
        <v>45934.5</v>
      </c>
      <c r="E483" s="360"/>
      <c r="F483" s="360" t="str">
        <f ca="1">IFERROR(__xludf.DUMMYFUNCTION("""COMPUTED_VALUE"""),"16/04/2025 13:00")</f>
        <v>16/04/2025 13:00</v>
      </c>
      <c r="G483" s="360" t="str">
        <f ca="1">IFERROR(__xludf.DUMMYFUNCTION("""COMPUTED_VALUE"""),"16/04/2025 15:00")</f>
        <v>16/04/2025 15:00</v>
      </c>
      <c r="H483" s="360" t="str">
        <f ca="1">IFERROR(__xludf.DUMMYFUNCTION("""COMPUTED_VALUE"""),"17/04/2025 13:00")</f>
        <v>17/04/2025 13:00</v>
      </c>
      <c r="I483" s="362" t="str">
        <f ca="1">IFERROR(__xludf.DUMMYFUNCTION("""COMPUTED_VALUE"""),"17/04/2025 15:00")</f>
        <v>17/04/2025 15:00</v>
      </c>
      <c r="J483" s="362" t="str">
        <f ca="1">IFERROR(__xludf.DUMMYFUNCTION("""COMPUTED_VALUE"""),"18/04/2025 16:00")</f>
        <v>18/04/2025 16:00</v>
      </c>
      <c r="K483" s="362" t="str">
        <f ca="1">IFERROR(__xludf.DUMMYFUNCTION("""COMPUTED_VALUE"""),"20/04/2025 22:00")</f>
        <v>20/04/2025 22:00</v>
      </c>
      <c r="L483" s="360" t="str">
        <f ca="1">IFERROR(__xludf.DUMMYFUNCTION("""COMPUTED_VALUE"""),"20/04/20225  20:00")</f>
        <v>20/04/20225  20:00</v>
      </c>
      <c r="M483" s="360" t="str">
        <f ca="1">IFERROR(__xludf.DUMMYFUNCTION("""COMPUTED_VALUE"""),"21/04/2025 MORNING")</f>
        <v>21/04/2025 MORNING</v>
      </c>
    </row>
    <row r="484" spans="1:13" ht="18.75">
      <c r="A484" s="360" t="str">
        <f ca="1">IFERROR(__xludf.DUMMYFUNCTION("""COMPUTED_VALUE"""),"CVT")</f>
        <v>CVT</v>
      </c>
      <c r="B484" s="360" t="str">
        <f ca="1">IFERROR(__xludf.DUMMYFUNCTION("""COMPUTED_VALUE"""),"AVIOS V.2506N")</f>
        <v>AVIOS V.2506N</v>
      </c>
      <c r="C484" s="361" t="str">
        <f ca="1">IFERROR(__xludf.DUMMYFUNCTION("""COMPUTED_VALUE"""),"THBKK")</f>
        <v>THBKK</v>
      </c>
      <c r="D484" s="360" t="str">
        <f ca="1">IFERROR(__xludf.DUMMYFUNCTION("""COMPUTED_VALUE"""),"17/04/2025 08:00")</f>
        <v>17/04/2025 08:00</v>
      </c>
      <c r="E484" s="360" t="str">
        <f ca="1">IFERROR(__xludf.DUMMYFUNCTION("""COMPUTED_VALUE"""),"33.83  11/04/2025")</f>
        <v>33.83  11/04/2025</v>
      </c>
      <c r="F484" s="360" t="str">
        <f ca="1">IFERROR(__xludf.DUMMYFUNCTION("""COMPUTED_VALUE"""),"16/04/2025 13:00")</f>
        <v>16/04/2025 13:00</v>
      </c>
      <c r="G484" s="360" t="str">
        <f ca="1">IFERROR(__xludf.DUMMYFUNCTION("""COMPUTED_VALUE"""),"16/04/2025 15:00")</f>
        <v>16/04/2025 15:00</v>
      </c>
      <c r="H484" s="360" t="str">
        <f ca="1">IFERROR(__xludf.DUMMYFUNCTION("""COMPUTED_VALUE"""),"17/04/2025 13:00")</f>
        <v>17/04/2025 13:00</v>
      </c>
      <c r="I484" s="362" t="str">
        <f ca="1">IFERROR(__xludf.DUMMYFUNCTION("""COMPUTED_VALUE"""),"17/04/2025 15:00")</f>
        <v>17/04/2025 15:00</v>
      </c>
      <c r="J484" s="362" t="str">
        <f ca="1">IFERROR(__xludf.DUMMYFUNCTION("""COMPUTED_VALUE"""),"18/04/2025 16:00")</f>
        <v>18/04/2025 16:00</v>
      </c>
      <c r="K484" s="362" t="str">
        <f ca="1">IFERROR(__xludf.DUMMYFUNCTION("""COMPUTED_VALUE"""),"20/04/2025 04:00")</f>
        <v>20/04/2025 04:00</v>
      </c>
      <c r="L484" s="360" t="str">
        <f ca="1">IFERROR(__xludf.DUMMYFUNCTION("""COMPUTED_VALUE"""),"20/04/2025  04:00")</f>
        <v>20/04/2025  04:00</v>
      </c>
      <c r="M484" s="360" t="str">
        <f ca="1">IFERROR(__xludf.DUMMYFUNCTION("""COMPUTED_VALUE"""),"21/04/2025 MORNING")</f>
        <v>21/04/2025 MORNING</v>
      </c>
    </row>
    <row r="485" spans="1:13" ht="18.75">
      <c r="A485" s="360"/>
      <c r="B485" s="360"/>
      <c r="C485" s="361" t="str">
        <f ca="1">IFERROR(__xludf.DUMMYFUNCTION("""COMPUTED_VALUE"""),"THLCB")</f>
        <v>THLCB</v>
      </c>
      <c r="D485" s="360" t="str">
        <f ca="1">IFERROR(__xludf.DUMMYFUNCTION("""COMPUTED_VALUE"""),"18/04/2025 04:00")</f>
        <v>18/04/2025 04:00</v>
      </c>
      <c r="E485" s="360"/>
      <c r="F485" s="360" t="str">
        <f ca="1">IFERROR(__xludf.DUMMYFUNCTION("""COMPUTED_VALUE"""),"16/04/2025 13:01")</f>
        <v>16/04/2025 13:01</v>
      </c>
      <c r="G485" s="360" t="str">
        <f ca="1">IFERROR(__xludf.DUMMYFUNCTION("""COMPUTED_VALUE"""),"16/04/2025 15:01")</f>
        <v>16/04/2025 15:01</v>
      </c>
      <c r="H485" s="360" t="str">
        <f ca="1">IFERROR(__xludf.DUMMYFUNCTION("""COMPUTED_VALUE"""),"17/04/2025 13:01")</f>
        <v>17/04/2025 13:01</v>
      </c>
      <c r="I485" s="362" t="str">
        <f ca="1">IFERROR(__xludf.DUMMYFUNCTION("""COMPUTED_VALUE"""),"17/04/2025 15:01")</f>
        <v>17/04/2025 15:01</v>
      </c>
      <c r="J485" s="362" t="str">
        <f ca="1">IFERROR(__xludf.DUMMYFUNCTION("""COMPUTED_VALUE"""),"18/04/2025 16:01")</f>
        <v>18/04/2025 16:01</v>
      </c>
      <c r="K485" s="362" t="str">
        <f ca="1">IFERROR(__xludf.DUMMYFUNCTION("""COMPUTED_VALUE"""),"21/04/2025 13:00")</f>
        <v>21/04/2025 13:00</v>
      </c>
      <c r="L485" s="360" t="str">
        <f ca="1">IFERROR(__xludf.DUMMYFUNCTION("""COMPUTED_VALUE"""),"21/04/2025  10:00")</f>
        <v>21/04/2025  10:00</v>
      </c>
      <c r="M485" s="360" t="str">
        <f ca="1">IFERROR(__xludf.DUMMYFUNCTION("""COMPUTED_VALUE"""),"21/04/2025 NOON")</f>
        <v>21/04/2025 NOON</v>
      </c>
    </row>
    <row r="486" spans="1:13" ht="18.75">
      <c r="A486" s="360"/>
      <c r="B486" s="360"/>
      <c r="C486" s="361"/>
      <c r="D486" s="360"/>
      <c r="E486" s="360"/>
      <c r="F486" s="360"/>
      <c r="G486" s="360"/>
      <c r="H486" s="360"/>
      <c r="I486" s="362"/>
      <c r="J486" s="362"/>
      <c r="K486" s="362"/>
      <c r="L486" s="360"/>
      <c r="M486" s="360"/>
    </row>
    <row r="487" spans="1:13" ht="18.75">
      <c r="A487" s="360"/>
      <c r="B487" s="360" t="str">
        <f ca="1">IFERROR(__xludf.DUMMYFUNCTION("""COMPUTED_VALUE"""),"WEEK 15/2025")</f>
        <v>WEEK 15/2025</v>
      </c>
      <c r="C487" s="361" t="str">
        <f ca="1">IFERROR(__xludf.DUMMYFUNCTION("""COMPUTED_VALUE"""),"07/04/2025 Holiday Chakri Day Substitution")</f>
        <v>07/04/2025 Holiday Chakri Day Substitution</v>
      </c>
      <c r="D487" s="360"/>
      <c r="E487" s="360"/>
      <c r="F487" s="360"/>
      <c r="G487" s="360"/>
      <c r="H487" s="360"/>
      <c r="I487" s="362"/>
      <c r="J487" s="362"/>
      <c r="K487" s="362"/>
      <c r="L487" s="360"/>
      <c r="M487" s="360"/>
    </row>
    <row r="488" spans="1:13" ht="18.75">
      <c r="A488" s="360"/>
      <c r="B488" s="360"/>
      <c r="C488" s="361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488" s="360"/>
      <c r="E488" s="360"/>
      <c r="F488" s="360"/>
      <c r="G488" s="360"/>
      <c r="H488" s="360"/>
      <c r="I488" s="362"/>
      <c r="J488" s="362"/>
      <c r="K488" s="362"/>
      <c r="L488" s="360"/>
      <c r="M488" s="360"/>
    </row>
    <row r="489" spans="1:13" ht="18.75">
      <c r="A489" s="360" t="str">
        <f ca="1">IFERROR(__xludf.DUMMYFUNCTION("""COMPUTED_VALUE"""),"SERVICE")</f>
        <v>SERVICE</v>
      </c>
      <c r="B489" s="360" t="str">
        <f ca="1">IFERROR(__xludf.DUMMYFUNCTION("""COMPUTED_VALUE"""),"VESSEL NAME")</f>
        <v>VESSEL NAME</v>
      </c>
      <c r="C489" s="361" t="str">
        <f ca="1">IFERROR(__xludf.DUMMYFUNCTION("""COMPUTED_VALUE"""),"PORT")</f>
        <v>PORT</v>
      </c>
      <c r="D489" s="360" t="str">
        <f ca="1">IFERROR(__xludf.DUMMYFUNCTION("""COMPUTED_VALUE"""),"PERFOMA ETD")</f>
        <v>PERFOMA ETD</v>
      </c>
      <c r="E489" s="360" t="str">
        <f ca="1">IFERROR(__xludf.DUMMYFUNCTION("""COMPUTED_VALUE"""),"EX.RATE/DATE/")</f>
        <v>EX.RATE/DATE/</v>
      </c>
      <c r="F489" s="360" t="str">
        <f ca="1">IFERROR(__xludf.DUMMYFUNCTION("""COMPUTED_VALUE"""),"SI CUT OFF USA")</f>
        <v>SI CUT OFF USA</v>
      </c>
      <c r="G489" s="360" t="str">
        <f ca="1">IFERROR(__xludf.DUMMYFUNCTION("""COMPUTED_VALUE"""),"SI CUT OFF")</f>
        <v>SI CUT OFF</v>
      </c>
      <c r="H489" s="360" t="str">
        <f ca="1">IFERROR(__xludf.DUMMYFUNCTION("""COMPUTED_VALUE"""),"B/L CFM USA")</f>
        <v>B/L CFM USA</v>
      </c>
      <c r="I489" s="362" t="str">
        <f ca="1">IFERROR(__xludf.DUMMYFUNCTION("""COMPUTED_VALUE"""),"B/L CFM CHINA,JP,VN")</f>
        <v>B/L CFM CHINA,JP,VN</v>
      </c>
      <c r="J489" s="362" t="str">
        <f ca="1">IFERROR(__xludf.DUMMYFUNCTION("""COMPUTED_VALUE"""),"B/L CONFIRM")</f>
        <v>B/L CONFIRM</v>
      </c>
      <c r="K489" s="362" t="str">
        <f ca="1">IFERROR(__xludf.DUMMYFUNCTION("""COMPUTED_VALUE"""),"ETD")</f>
        <v>ETD</v>
      </c>
      <c r="L489" s="360" t="str">
        <f ca="1">IFERROR(__xludf.DUMMYFUNCTION("""COMPUTED_VALUE"""),"ATD")</f>
        <v>ATD</v>
      </c>
      <c r="M489" s="360" t="str">
        <f ca="1">IFERROR(__xludf.DUMMYFUNCTION("""COMPUTED_VALUE"""),"B/L ISSUED DATE")</f>
        <v>B/L ISSUED DATE</v>
      </c>
    </row>
    <row r="490" spans="1:13" ht="18.75">
      <c r="A490" s="360"/>
      <c r="B490" s="360"/>
      <c r="C490" s="361"/>
      <c r="D490" s="360"/>
      <c r="E490" s="360" t="str">
        <f ca="1">IFERROR(__xludf.DUMMYFUNCTION("""COMPUTED_VALUE"""),"BANGKOK BANK")</f>
        <v>BANGKOK BANK</v>
      </c>
      <c r="F490" s="360" t="str">
        <f ca="1">IFERROR(__xludf.DUMMYFUNCTION("""COMPUTED_VALUE"""),"4 days before ETD")</f>
        <v>4 days before ETD</v>
      </c>
      <c r="G490" s="360"/>
      <c r="H490" s="360" t="str">
        <f ca="1">IFERROR(__xludf.DUMMYFUNCTION("""COMPUTED_VALUE"""),"3 days before ETD")</f>
        <v>3 days before ETD</v>
      </c>
      <c r="I490" s="362" t="str">
        <f ca="1">IFERROR(__xludf.DUMMYFUNCTION("""COMPUTED_VALUE"""),"Direct port CUT OFF")</f>
        <v>Direct port CUT OFF</v>
      </c>
      <c r="J490" s="362" t="str">
        <f ca="1">IFERROR(__xludf.DUMMYFUNCTION("""COMPUTED_VALUE"""),"Orther port CUT OFF")</f>
        <v>Orther port CUT OFF</v>
      </c>
      <c r="K490" s="362" t="str">
        <f ca="1">IFERROR(__xludf.DUMMYFUNCTION("""COMPUTED_VALUE"""),"ON BOARD DATE")</f>
        <v>ON BOARD DATE</v>
      </c>
      <c r="L490" s="360" t="str">
        <f ca="1">IFERROR(__xludf.DUMMYFUNCTION("""COMPUTED_VALUE"""),"วันเรือออกจริง")</f>
        <v>วันเรือออกจริง</v>
      </c>
      <c r="M490" s="360" t="str">
        <f ca="1">IFERROR(__xludf.DUMMYFUNCTION("""COMPUTED_VALUE"""),"วันปล่อยบีแอล")</f>
        <v>วันปล่อยบีแอล</v>
      </c>
    </row>
    <row r="491" spans="1:13" ht="18.75">
      <c r="A491" s="360"/>
      <c r="B491" s="360"/>
      <c r="C491" s="361"/>
      <c r="D491" s="360"/>
      <c r="E491" s="360"/>
      <c r="F491" s="360"/>
      <c r="G491" s="360" t="str">
        <f ca="1">IFERROR(__xludf.DUMMYFUNCTION("""COMPUTED_VALUE"""),"3 days before ETD")</f>
        <v>3 days before ETD</v>
      </c>
      <c r="H491" s="360"/>
      <c r="I491" s="362" t="str">
        <f ca="1">IFERROR(__xludf.DUMMYFUNCTION("""COMPUTED_VALUE"""),"2 days before ETD")</f>
        <v>2 days before ETD</v>
      </c>
      <c r="J491" s="362" t="str">
        <f ca="1">IFERROR(__xludf.DUMMYFUNCTION("""COMPUTED_VALUE"""),"1 days before ETD")</f>
        <v>1 days before ETD</v>
      </c>
      <c r="K491" s="362" t="str">
        <f ca="1">IFERROR(__xludf.DUMMYFUNCTION("""COMPUTED_VALUE"""),"SHOW ON B/L")</f>
        <v>SHOW ON B/L</v>
      </c>
      <c r="L491" s="360"/>
      <c r="M491" s="360"/>
    </row>
    <row r="492" spans="1:13" ht="18.75">
      <c r="A492" s="360" t="str">
        <f ca="1">IFERROR(__xludf.DUMMYFUNCTION("""COMPUTED_VALUE"""),"JHTS")</f>
        <v>JHTS</v>
      </c>
      <c r="B492" s="360" t="str">
        <f ca="1">IFERROR(__xludf.DUMMYFUNCTION("""COMPUTED_VALUE"""),"TS KAOHSIUNG V.25006N")</f>
        <v>TS KAOHSIUNG V.25006N</v>
      </c>
      <c r="C492" s="361" t="str">
        <f ca="1">IFERROR(__xludf.DUMMYFUNCTION("""COMPUTED_VALUE"""),"THBKK")</f>
        <v>THBKK</v>
      </c>
      <c r="D492" s="366">
        <f ca="1">IFERROR(__xludf.DUMMYFUNCTION("""COMPUTED_VALUE"""),45812.25)</f>
        <v>45812.25</v>
      </c>
      <c r="E492" s="360" t="str">
        <f ca="1">IFERROR(__xludf.DUMMYFUNCTION("""COMPUTED_VALUE"""),"34.13 31/03/2025")</f>
        <v>34.13 31/03/2025</v>
      </c>
      <c r="F492" s="366">
        <f ca="1">IFERROR(__xludf.DUMMYFUNCTION("""COMPUTED_VALUE"""),45751.5416666666)</f>
        <v>45751.541666666599</v>
      </c>
      <c r="G492" s="366">
        <f ca="1">IFERROR(__xludf.DUMMYFUNCTION("""COMPUTED_VALUE"""),45751.625)</f>
        <v>45751.625</v>
      </c>
      <c r="H492" s="366">
        <f ca="1">IFERROR(__xludf.DUMMYFUNCTION("""COMPUTED_VALUE"""),45751.5416666666)</f>
        <v>45751.541666666599</v>
      </c>
      <c r="I492" s="369">
        <f ca="1">IFERROR(__xludf.DUMMYFUNCTION("""COMPUTED_VALUE"""),45751.625)</f>
        <v>45751.625</v>
      </c>
      <c r="J492" s="369">
        <f ca="1">IFERROR(__xludf.DUMMYFUNCTION("""COMPUTED_VALUE"""),45873.6666666666)</f>
        <v>45873.666666666599</v>
      </c>
      <c r="K492" s="370">
        <f ca="1">IFERROR(__xludf.DUMMYFUNCTION("""COMPUTED_VALUE"""),45904.2083333333)</f>
        <v>45904.208333333299</v>
      </c>
      <c r="L492" s="373">
        <f ca="1">IFERROR(__xludf.DUMMYFUNCTION("""COMPUTED_VALUE"""),45904.0416666666)</f>
        <v>45904.041666666599</v>
      </c>
      <c r="M492" s="360" t="str">
        <f ca="1">IFERROR(__xludf.DUMMYFUNCTION("""COMPUTED_VALUE"""),"09/04/2025 NOON")</f>
        <v>09/04/2025 NOON</v>
      </c>
    </row>
    <row r="493" spans="1:13" ht="18.75">
      <c r="A493" s="360"/>
      <c r="B493" s="360"/>
      <c r="C493" s="361" t="str">
        <f ca="1">IFERROR(__xludf.DUMMYFUNCTION("""COMPUTED_VALUE"""),"THLCB")</f>
        <v>THLCB</v>
      </c>
      <c r="D493" s="366">
        <f ca="1">IFERROR(__xludf.DUMMYFUNCTION("""COMPUTED_VALUE"""),45842.25)</f>
        <v>45842.25</v>
      </c>
      <c r="E493" s="360"/>
      <c r="F493" s="366">
        <f ca="1">IFERROR(__xludf.DUMMYFUNCTION("""COMPUTED_VALUE"""),45751.5416666666)</f>
        <v>45751.541666666599</v>
      </c>
      <c r="G493" s="366">
        <f ca="1">IFERROR(__xludf.DUMMYFUNCTION("""COMPUTED_VALUE"""),45751.625)</f>
        <v>45751.625</v>
      </c>
      <c r="H493" s="366">
        <f ca="1">IFERROR(__xludf.DUMMYFUNCTION("""COMPUTED_VALUE"""),45751.5416666666)</f>
        <v>45751.541666666599</v>
      </c>
      <c r="I493" s="369">
        <f ca="1">IFERROR(__xludf.DUMMYFUNCTION("""COMPUTED_VALUE"""),45751.625)</f>
        <v>45751.625</v>
      </c>
      <c r="J493" s="369">
        <f ca="1">IFERROR(__xludf.DUMMYFUNCTION("""COMPUTED_VALUE"""),45873.6666666666)</f>
        <v>45873.666666666599</v>
      </c>
      <c r="K493" s="369">
        <f ca="1">IFERROR(__xludf.DUMMYFUNCTION("""COMPUTED_VALUE"""),45904.875)</f>
        <v>45904.875</v>
      </c>
      <c r="L493" s="373">
        <f ca="1">IFERROR(__xludf.DUMMYFUNCTION("""COMPUTED_VALUE"""),45904.9375)</f>
        <v>45904.9375</v>
      </c>
      <c r="M493" s="360" t="str">
        <f ca="1">IFERROR(__xludf.DUMMYFUNCTION("""COMPUTED_VALUE"""),"10/04/2025 MORNING")</f>
        <v>10/04/2025 MORNING</v>
      </c>
    </row>
    <row r="494" spans="1:13" ht="18.75">
      <c r="A494" s="360" t="str">
        <f ca="1">IFERROR(__xludf.DUMMYFUNCTION("""COMPUTED_VALUE"""),"TRX")</f>
        <v>TRX</v>
      </c>
      <c r="B494" s="360" t="str">
        <f ca="1">IFERROR(__xludf.DUMMYFUNCTION("""COMPUTED_VALUE"""),"TS NAGOYA V.25005N")</f>
        <v>TS NAGOYA V.25005N</v>
      </c>
      <c r="C494" s="361" t="str">
        <f ca="1">IFERROR(__xludf.DUMMYFUNCTION("""COMPUTED_VALUE"""),"THBKK")</f>
        <v>THBKK</v>
      </c>
      <c r="D494" s="366">
        <f ca="1">IFERROR(__xludf.DUMMYFUNCTION("""COMPUTED_VALUE"""),45873.8125)</f>
        <v>45873.8125</v>
      </c>
      <c r="E494" s="360" t="str">
        <f ca="1">IFERROR(__xludf.DUMMYFUNCTION("""COMPUTED_VALUE"""),"34.35 01/04/2025")</f>
        <v>34.35 01/04/2025</v>
      </c>
      <c r="F494" s="366">
        <f ca="1">IFERROR(__xludf.DUMMYFUNCTION("""COMPUTED_VALUE"""),45751.5416666666)</f>
        <v>45751.541666666599</v>
      </c>
      <c r="G494" s="366">
        <f ca="1">IFERROR(__xludf.DUMMYFUNCTION("""COMPUTED_VALUE"""),45873.625)</f>
        <v>45873.625</v>
      </c>
      <c r="H494" s="366">
        <f ca="1">IFERROR(__xludf.DUMMYFUNCTION("""COMPUTED_VALUE"""),45873.5416666666)</f>
        <v>45873.541666666599</v>
      </c>
      <c r="I494" s="369">
        <f ca="1">IFERROR(__xludf.DUMMYFUNCTION("""COMPUTED_VALUE"""),45873.625)</f>
        <v>45873.625</v>
      </c>
      <c r="J494" s="369">
        <f ca="1">IFERROR(__xludf.DUMMYFUNCTION("""COMPUTED_VALUE"""),45904.6666666666)</f>
        <v>45904.666666666599</v>
      </c>
      <c r="K494" s="370">
        <f ca="1">IFERROR(__xludf.DUMMYFUNCTION("""COMPUTED_VALUE"""),45934.5)</f>
        <v>45934.5</v>
      </c>
      <c r="L494" s="373">
        <f ca="1">IFERROR(__xludf.DUMMYFUNCTION("""COMPUTED_VALUE"""),45934.0041666666)</f>
        <v>45934.0041666666</v>
      </c>
      <c r="M494" s="360" t="str">
        <f ca="1">IFERROR(__xludf.DUMMYFUNCTION("""COMPUTED_VALUE"""),"10/04/2025 NOON")</f>
        <v>10/04/2025 NOON</v>
      </c>
    </row>
    <row r="495" spans="1:13" ht="18.75">
      <c r="A495" s="360"/>
      <c r="B495" s="360"/>
      <c r="C495" s="361" t="str">
        <f ca="1">IFERROR(__xludf.DUMMYFUNCTION("""COMPUTED_VALUE"""),"THLCB")</f>
        <v>THLCB</v>
      </c>
      <c r="D495" s="366">
        <f ca="1">IFERROR(__xludf.DUMMYFUNCTION("""COMPUTED_VALUE"""),45904.375)</f>
        <v>45904.375</v>
      </c>
      <c r="E495" s="360"/>
      <c r="F495" s="366">
        <f ca="1">IFERROR(__xludf.DUMMYFUNCTION("""COMPUTED_VALUE"""),45751.5416666666)</f>
        <v>45751.541666666599</v>
      </c>
      <c r="G495" s="366">
        <f ca="1">IFERROR(__xludf.DUMMYFUNCTION("""COMPUTED_VALUE"""),45873.625)</f>
        <v>45873.625</v>
      </c>
      <c r="H495" s="366">
        <f ca="1">IFERROR(__xludf.DUMMYFUNCTION("""COMPUTED_VALUE"""),45873.5416666666)</f>
        <v>45873.541666666599</v>
      </c>
      <c r="I495" s="369">
        <f ca="1">IFERROR(__xludf.DUMMYFUNCTION("""COMPUTED_VALUE"""),45873.625)</f>
        <v>45873.625</v>
      </c>
      <c r="J495" s="369">
        <f ca="1">IFERROR(__xludf.DUMMYFUNCTION("""COMPUTED_VALUE"""),45904.6666666666)</f>
        <v>45904.666666666599</v>
      </c>
      <c r="K495" s="370">
        <f ca="1">IFERROR(__xludf.DUMMYFUNCTION("""COMPUTED_VALUE"""),45934.875)</f>
        <v>45934.875</v>
      </c>
      <c r="L495" s="373">
        <f ca="1">IFERROR(__xludf.DUMMYFUNCTION("""COMPUTED_VALUE"""),45934.9236111111)</f>
        <v>45934.923611111102</v>
      </c>
      <c r="M495" s="360" t="str">
        <f ca="1">IFERROR(__xludf.DUMMYFUNCTION("""COMPUTED_VALUE"""),"11/04/2025 MORNING")</f>
        <v>11/04/2025 MORNING</v>
      </c>
    </row>
    <row r="496" spans="1:13" ht="18.75">
      <c r="A496" s="360" t="str">
        <f ca="1">IFERROR(__xludf.DUMMYFUNCTION("""COMPUTED_VALUE"""),"CVT")</f>
        <v>CVT</v>
      </c>
      <c r="B496" s="360" t="str">
        <f ca="1">IFERROR(__xludf.DUMMYFUNCTION("""COMPUTED_VALUE"""),"KMTC TAIPEIS V.2504N")</f>
        <v>KMTC TAIPEIS V.2504N</v>
      </c>
      <c r="C496" s="361" t="str">
        <f ca="1">IFERROR(__xludf.DUMMYFUNCTION("""COMPUTED_VALUE"""),"THBKK")</f>
        <v>THBKK</v>
      </c>
      <c r="D496" s="366">
        <f ca="1">IFERROR(__xludf.DUMMYFUNCTION("""COMPUTED_VALUE"""),45720.3333333333)</f>
        <v>45720.333333333299</v>
      </c>
      <c r="E496" s="360" t="str">
        <f ca="1">IFERROR(__xludf.DUMMYFUNCTION("""COMPUTED_VALUE"""),"34.43  04/04/2025")</f>
        <v>34.43  04/04/2025</v>
      </c>
      <c r="F496" s="366">
        <f ca="1">IFERROR(__xludf.DUMMYFUNCTION("""COMPUTED_VALUE"""),45873.5416666666)</f>
        <v>45873.541666666599</v>
      </c>
      <c r="G496" s="366">
        <f ca="1">IFERROR(__xludf.DUMMYFUNCTION("""COMPUTED_VALUE"""),45904.625)</f>
        <v>45904.625</v>
      </c>
      <c r="H496" s="366">
        <f ca="1">IFERROR(__xludf.DUMMYFUNCTION("""COMPUTED_VALUE"""),45904.5416666666)</f>
        <v>45904.541666666599</v>
      </c>
      <c r="I496" s="369">
        <f ca="1">IFERROR(__xludf.DUMMYFUNCTION("""COMPUTED_VALUE"""),45934.625)</f>
        <v>45934.625</v>
      </c>
      <c r="J496" s="369">
        <f ca="1">IFERROR(__xludf.DUMMYFUNCTION("""COMPUTED_VALUE"""),45965.6666666666)</f>
        <v>45965.666666666599</v>
      </c>
      <c r="K496" s="370">
        <f ca="1">IFERROR(__xludf.DUMMYFUNCTION("""COMPUTED_VALUE"""),45995.125)</f>
        <v>45995.125</v>
      </c>
      <c r="L496" s="373">
        <f ca="1">IFERROR(__xludf.DUMMYFUNCTION("""COMPUTED_VALUE"""),45995.5833333333)</f>
        <v>45995.583333333299</v>
      </c>
      <c r="M496" s="360" t="str">
        <f ca="1">IFERROR(__xludf.DUMMYFUNCTION("""COMPUTED_VALUE"""),"17/04/2025 MORNING")</f>
        <v>17/04/2025 MORNING</v>
      </c>
    </row>
    <row r="497" spans="1:13" ht="18.75">
      <c r="A497" s="360"/>
      <c r="B497" s="360"/>
      <c r="C497" s="361" t="str">
        <f ca="1">IFERROR(__xludf.DUMMYFUNCTION("""COMPUTED_VALUE"""),"THLCB")</f>
        <v>THLCB</v>
      </c>
      <c r="D497" s="366">
        <f ca="1">IFERROR(__xludf.DUMMYFUNCTION("""COMPUTED_VALUE"""),45750.1666666666)</f>
        <v>45750.166666666599</v>
      </c>
      <c r="E497" s="360"/>
      <c r="F497" s="366">
        <f ca="1">IFERROR(__xludf.DUMMYFUNCTION("""COMPUTED_VALUE"""),45904.5416666666)</f>
        <v>45904.541666666599</v>
      </c>
      <c r="G497" s="366">
        <f ca="1">IFERROR(__xludf.DUMMYFUNCTION("""COMPUTED_VALUE"""),45934.625)</f>
        <v>45934.625</v>
      </c>
      <c r="H497" s="366">
        <f ca="1">IFERROR(__xludf.DUMMYFUNCTION("""COMPUTED_VALUE"""),45934.5416666666)</f>
        <v>45934.541666666599</v>
      </c>
      <c r="I497" s="369">
        <f ca="1">IFERROR(__xludf.DUMMYFUNCTION("""COMPUTED_VALUE"""),45965.625)</f>
        <v>45965.625</v>
      </c>
      <c r="J497" s="369">
        <f ca="1">IFERROR(__xludf.DUMMYFUNCTION("""COMPUTED_VALUE"""),45965.6666666666)</f>
        <v>45965.666666666599</v>
      </c>
      <c r="K497" s="370" t="str">
        <f ca="1">IFERROR(__xludf.DUMMYFUNCTION("""COMPUTED_VALUE"""),"13/04/2025 03:00")</f>
        <v>13/04/2025 03:00</v>
      </c>
      <c r="L497" s="360" t="str">
        <f ca="1">IFERROR(__xludf.DUMMYFUNCTION("""COMPUTED_VALUE"""),"13/04/2025 07:00")</f>
        <v>13/04/2025 07:00</v>
      </c>
      <c r="M497" s="360" t="str">
        <f ca="1">IFERROR(__xludf.DUMMYFUNCTION("""COMPUTED_VALUE"""),"17/04/2025 MORNING")</f>
        <v>17/04/2025 MORNING</v>
      </c>
    </row>
    <row r="498" spans="1:13" ht="18.75">
      <c r="A498" s="360" t="str">
        <f ca="1">IFERROR(__xludf.DUMMYFUNCTION("""COMPUTED_VALUE"""),"CVT")</f>
        <v>CVT</v>
      </c>
      <c r="B498" s="360" t="str">
        <f ca="1">IFERROR(__xludf.DUMMYFUNCTION("""COMPUTED_VALUE"""),"TS QINGDAO V.25005N")</f>
        <v>TS QINGDAO V.25005N</v>
      </c>
      <c r="C498" s="361" t="str">
        <f ca="1">IFERROR(__xludf.DUMMYFUNCTION("""COMPUTED_VALUE"""),"THBKK")</f>
        <v>THBKK</v>
      </c>
      <c r="D498" s="366">
        <f ca="1">IFERROR(__xludf.DUMMYFUNCTION("""COMPUTED_VALUE"""),45934.3333333333)</f>
        <v>45934.333333333299</v>
      </c>
      <c r="E498" s="360" t="str">
        <f ca="1">IFERROR(__xludf.DUMMYFUNCTION("""COMPUTED_VALUE"""),"34.43  04/04/2025")</f>
        <v>34.43  04/04/2025</v>
      </c>
      <c r="F498" s="366">
        <f ca="1">IFERROR(__xludf.DUMMYFUNCTION("""COMPUTED_VALUE"""),45904.5416666666)</f>
        <v>45904.541666666599</v>
      </c>
      <c r="G498" s="366">
        <f ca="1">IFERROR(__xludf.DUMMYFUNCTION("""COMPUTED_VALUE"""),45934.625)</f>
        <v>45934.625</v>
      </c>
      <c r="H498" s="366">
        <f ca="1">IFERROR(__xludf.DUMMYFUNCTION("""COMPUTED_VALUE"""),45934.5416666666)</f>
        <v>45934.541666666599</v>
      </c>
      <c r="I498" s="369">
        <f ca="1">IFERROR(__xludf.DUMMYFUNCTION("""COMPUTED_VALUE"""),45965.625)</f>
        <v>45965.625</v>
      </c>
      <c r="J498" s="369">
        <f ca="1">IFERROR(__xludf.DUMMYFUNCTION("""COMPUTED_VALUE"""),45965.6666666666)</f>
        <v>45965.666666666599</v>
      </c>
      <c r="K498" s="370" t="str">
        <f ca="1">IFERROR(__xludf.DUMMYFUNCTION("""COMPUTED_VALUE"""),"14/04/2025 01:00")</f>
        <v>14/04/2025 01:00</v>
      </c>
      <c r="L498" s="360" t="str">
        <f ca="1">IFERROR(__xludf.DUMMYFUNCTION("""COMPUTED_VALUE"""),"14/04/2025  15:00")</f>
        <v>14/04/2025  15:00</v>
      </c>
      <c r="M498" s="360" t="str">
        <f ca="1">IFERROR(__xludf.DUMMYFUNCTION("""COMPUTED_VALUE"""),"17/04/2025 MORNING")</f>
        <v>17/04/2025 MORNING</v>
      </c>
    </row>
    <row r="499" spans="1:13" ht="18.75">
      <c r="A499" s="360"/>
      <c r="B499" s="360"/>
      <c r="C499" s="361" t="str">
        <f ca="1">IFERROR(__xludf.DUMMYFUNCTION("""COMPUTED_VALUE"""),"THLCB")</f>
        <v>THLCB</v>
      </c>
      <c r="D499" s="366">
        <f ca="1">IFERROR(__xludf.DUMMYFUNCTION("""COMPUTED_VALUE"""),45965.1666666666)</f>
        <v>45965.166666666599</v>
      </c>
      <c r="E499" s="360"/>
      <c r="F499" s="366">
        <f ca="1">IFERROR(__xludf.DUMMYFUNCTION("""COMPUTED_VALUE"""),45904.5416666666)</f>
        <v>45904.541666666599</v>
      </c>
      <c r="G499" s="366">
        <f ca="1">IFERROR(__xludf.DUMMYFUNCTION("""COMPUTED_VALUE"""),45934.625)</f>
        <v>45934.625</v>
      </c>
      <c r="H499" s="366">
        <f ca="1">IFERROR(__xludf.DUMMYFUNCTION("""COMPUTED_VALUE"""),45934.5416666666)</f>
        <v>45934.541666666599</v>
      </c>
      <c r="I499" s="369">
        <f ca="1">IFERROR(__xludf.DUMMYFUNCTION("""COMPUTED_VALUE"""),45965.625)</f>
        <v>45965.625</v>
      </c>
      <c r="J499" s="369">
        <f ca="1">IFERROR(__xludf.DUMMYFUNCTION("""COMPUTED_VALUE"""),45965.6666666666)</f>
        <v>45965.666666666599</v>
      </c>
      <c r="K499" s="362" t="str">
        <f ca="1">IFERROR(__xludf.DUMMYFUNCTION("""COMPUTED_VALUE"""),"15/04/2025 01:00")</f>
        <v>15/04/2025 01:00</v>
      </c>
      <c r="L499" s="360" t="str">
        <f ca="1">IFERROR(__xludf.DUMMYFUNCTION("""COMPUTED_VALUE"""),"15/04/2025  16:05")</f>
        <v>15/04/2025  16:05</v>
      </c>
      <c r="M499" s="360" t="str">
        <f ca="1">IFERROR(__xludf.DUMMYFUNCTION("""COMPUTED_VALUE"""),"17/04/2025 MORNING")</f>
        <v>17/04/2025 MORNING</v>
      </c>
    </row>
    <row r="500" spans="1:13" ht="18.75">
      <c r="A500" s="360"/>
      <c r="B500" s="360"/>
      <c r="C500" s="361"/>
      <c r="D500" s="360"/>
      <c r="E500" s="360"/>
      <c r="F500" s="360"/>
      <c r="G500" s="360"/>
      <c r="H500" s="360"/>
      <c r="I500" s="362"/>
      <c r="J500" s="362"/>
      <c r="K500" s="362"/>
      <c r="L500" s="360"/>
      <c r="M500" s="360"/>
    </row>
    <row r="501" spans="1:13" ht="18.75">
      <c r="A501" s="360"/>
      <c r="B501" s="360" t="str">
        <f ca="1">IFERROR(__xludf.DUMMYFUNCTION("""COMPUTED_VALUE"""),"WEEK 14/2025")</f>
        <v>WEEK 14/2025</v>
      </c>
      <c r="C501" s="361"/>
      <c r="D501" s="360"/>
      <c r="E501" s="360"/>
      <c r="F501" s="360"/>
      <c r="G501" s="360"/>
      <c r="H501" s="360"/>
      <c r="I501" s="362"/>
      <c r="J501" s="362"/>
      <c r="K501" s="362"/>
      <c r="L501" s="360"/>
      <c r="M501" s="360"/>
    </row>
    <row r="502" spans="1:13" ht="18.75">
      <c r="A502" s="360"/>
      <c r="B502" s="360"/>
      <c r="C502" s="361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502" s="360"/>
      <c r="E502" s="360"/>
      <c r="F502" s="360"/>
      <c r="G502" s="360"/>
      <c r="H502" s="360"/>
      <c r="I502" s="362"/>
      <c r="J502" s="362"/>
      <c r="K502" s="362"/>
      <c r="L502" s="360"/>
      <c r="M502" s="360"/>
    </row>
    <row r="503" spans="1:13" ht="18.75">
      <c r="A503" s="360" t="str">
        <f ca="1">IFERROR(__xludf.DUMMYFUNCTION("""COMPUTED_VALUE"""),"SERVICE")</f>
        <v>SERVICE</v>
      </c>
      <c r="B503" s="360" t="str">
        <f ca="1">IFERROR(__xludf.DUMMYFUNCTION("""COMPUTED_VALUE"""),"VESSEL NAME")</f>
        <v>VESSEL NAME</v>
      </c>
      <c r="C503" s="361" t="str">
        <f ca="1">IFERROR(__xludf.DUMMYFUNCTION("""COMPUTED_VALUE"""),"PORT")</f>
        <v>PORT</v>
      </c>
      <c r="D503" s="360" t="str">
        <f ca="1">IFERROR(__xludf.DUMMYFUNCTION("""COMPUTED_VALUE"""),"PERFOMA ETD")</f>
        <v>PERFOMA ETD</v>
      </c>
      <c r="E503" s="360" t="str">
        <f ca="1">IFERROR(__xludf.DUMMYFUNCTION("""COMPUTED_VALUE"""),"EX.RATE/DATE/")</f>
        <v>EX.RATE/DATE/</v>
      </c>
      <c r="F503" s="360" t="str">
        <f ca="1">IFERROR(__xludf.DUMMYFUNCTION("""COMPUTED_VALUE"""),"SI CUT OFF USA")</f>
        <v>SI CUT OFF USA</v>
      </c>
      <c r="G503" s="360" t="str">
        <f ca="1">IFERROR(__xludf.DUMMYFUNCTION("""COMPUTED_VALUE"""),"SI CUT OFF")</f>
        <v>SI CUT OFF</v>
      </c>
      <c r="H503" s="360" t="str">
        <f ca="1">IFERROR(__xludf.DUMMYFUNCTION("""COMPUTED_VALUE"""),"B/L CFM USA")</f>
        <v>B/L CFM USA</v>
      </c>
      <c r="I503" s="362" t="str">
        <f ca="1">IFERROR(__xludf.DUMMYFUNCTION("""COMPUTED_VALUE"""),"B/L CFM CHINA,JP,VN")</f>
        <v>B/L CFM CHINA,JP,VN</v>
      </c>
      <c r="J503" s="362" t="str">
        <f ca="1">IFERROR(__xludf.DUMMYFUNCTION("""COMPUTED_VALUE"""),"B/L CONFIRM")</f>
        <v>B/L CONFIRM</v>
      </c>
      <c r="K503" s="362" t="str">
        <f ca="1">IFERROR(__xludf.DUMMYFUNCTION("""COMPUTED_VALUE"""),"ETD")</f>
        <v>ETD</v>
      </c>
      <c r="L503" s="360" t="str">
        <f ca="1">IFERROR(__xludf.DUMMYFUNCTION("""COMPUTED_VALUE"""),"ATD")</f>
        <v>ATD</v>
      </c>
      <c r="M503" s="360" t="str">
        <f ca="1">IFERROR(__xludf.DUMMYFUNCTION("""COMPUTED_VALUE"""),"B/L ISSUED DATE")</f>
        <v>B/L ISSUED DATE</v>
      </c>
    </row>
    <row r="504" spans="1:13" ht="18.75">
      <c r="A504" s="360"/>
      <c r="B504" s="360"/>
      <c r="C504" s="361"/>
      <c r="D504" s="360"/>
      <c r="E504" s="360" t="str">
        <f ca="1">IFERROR(__xludf.DUMMYFUNCTION("""COMPUTED_VALUE"""),"BANGKOK BANK")</f>
        <v>BANGKOK BANK</v>
      </c>
      <c r="F504" s="360" t="str">
        <f ca="1">IFERROR(__xludf.DUMMYFUNCTION("""COMPUTED_VALUE"""),"4 days before ETD")</f>
        <v>4 days before ETD</v>
      </c>
      <c r="G504" s="360"/>
      <c r="H504" s="360" t="str">
        <f ca="1">IFERROR(__xludf.DUMMYFUNCTION("""COMPUTED_VALUE"""),"3 days before ETD")</f>
        <v>3 days before ETD</v>
      </c>
      <c r="I504" s="362" t="str">
        <f ca="1">IFERROR(__xludf.DUMMYFUNCTION("""COMPUTED_VALUE"""),"Direct port CUT OFF")</f>
        <v>Direct port CUT OFF</v>
      </c>
      <c r="J504" s="362" t="str">
        <f ca="1">IFERROR(__xludf.DUMMYFUNCTION("""COMPUTED_VALUE"""),"Orther port CUT OFF")</f>
        <v>Orther port CUT OFF</v>
      </c>
      <c r="K504" s="362" t="str">
        <f ca="1">IFERROR(__xludf.DUMMYFUNCTION("""COMPUTED_VALUE"""),"ON BOARD DATE")</f>
        <v>ON BOARD DATE</v>
      </c>
      <c r="L504" s="360" t="str">
        <f ca="1">IFERROR(__xludf.DUMMYFUNCTION("""COMPUTED_VALUE"""),"วันเรือออกจริง")</f>
        <v>วันเรือออกจริง</v>
      </c>
      <c r="M504" s="360" t="str">
        <f ca="1">IFERROR(__xludf.DUMMYFUNCTION("""COMPUTED_VALUE"""),"วันปล่อยบีแอล")</f>
        <v>วันปล่อยบีแอล</v>
      </c>
    </row>
    <row r="505" spans="1:13" ht="18.75">
      <c r="A505" s="360"/>
      <c r="B505" s="360"/>
      <c r="C505" s="361"/>
      <c r="D505" s="360"/>
      <c r="E505" s="360"/>
      <c r="F505" s="360"/>
      <c r="G505" s="360" t="str">
        <f ca="1">IFERROR(__xludf.DUMMYFUNCTION("""COMPUTED_VALUE"""),"3 days before ETD")</f>
        <v>3 days before ETD</v>
      </c>
      <c r="H505" s="360"/>
      <c r="I505" s="362" t="str">
        <f ca="1">IFERROR(__xludf.DUMMYFUNCTION("""COMPUTED_VALUE"""),"2 days before ETD")</f>
        <v>2 days before ETD</v>
      </c>
      <c r="J505" s="362" t="str">
        <f ca="1">IFERROR(__xludf.DUMMYFUNCTION("""COMPUTED_VALUE"""),"1 days before ETD")</f>
        <v>1 days before ETD</v>
      </c>
      <c r="K505" s="362" t="str">
        <f ca="1">IFERROR(__xludf.DUMMYFUNCTION("""COMPUTED_VALUE"""),"SHOW ON B/L")</f>
        <v>SHOW ON B/L</v>
      </c>
      <c r="L505" s="360"/>
      <c r="M505" s="360"/>
    </row>
    <row r="506" spans="1:13" ht="18.75">
      <c r="A506" s="360" t="str">
        <f ca="1">IFERROR(__xludf.DUMMYFUNCTION("""COMPUTED_VALUE"""),"TRX")</f>
        <v>TRX</v>
      </c>
      <c r="B506" s="360" t="str">
        <f ca="1">IFERROR(__xludf.DUMMYFUNCTION("""COMPUTED_VALUE"""),"LITTLE WARRIOR V.014N")</f>
        <v>LITTLE WARRIOR V.014N</v>
      </c>
      <c r="C506" s="361" t="str">
        <f ca="1">IFERROR(__xludf.DUMMYFUNCTION("""COMPUTED_VALUE"""),"THBKK")</f>
        <v>THBKK</v>
      </c>
      <c r="D506" s="366">
        <f ca="1">IFERROR(__xludf.DUMMYFUNCTION("""COMPUTED_VALUE"""),45661.8125)</f>
        <v>45661.8125</v>
      </c>
      <c r="E506" s="360" t="str">
        <f ca="1">IFERROR(__xludf.DUMMYFUNCTION("""COMPUTED_VALUE"""),"34.14 24/03/2025")</f>
        <v>34.14 24/03/2025</v>
      </c>
      <c r="F506" s="360" t="str">
        <f ca="1">IFERROR(__xludf.DUMMYFUNCTION("""COMPUTED_VALUE"""),"28/03/2025 13:00")</f>
        <v>28/03/2025 13:00</v>
      </c>
      <c r="G506" s="360" t="str">
        <f ca="1">IFERROR(__xludf.DUMMYFUNCTION("""COMPUTED_VALUE"""),"29/03/2025 15:00")</f>
        <v>29/03/2025 15:00</v>
      </c>
      <c r="H506" s="360" t="str">
        <f ca="1">IFERROR(__xludf.DUMMYFUNCTION("""COMPUTED_VALUE"""),"29/03/2025 13:00")</f>
        <v>29/03/2025 13:00</v>
      </c>
      <c r="I506" s="362" t="str">
        <f ca="1">IFERROR(__xludf.DUMMYFUNCTION("""COMPUTED_VALUE"""),"31/03/2025 15:00:00")</f>
        <v>31/03/2025 15:00:00</v>
      </c>
      <c r="J506" s="369">
        <f ca="1">IFERROR(__xludf.DUMMYFUNCTION("""COMPUTED_VALUE"""),45661.6666666666)</f>
        <v>45661.666666666599</v>
      </c>
      <c r="K506" s="370">
        <f ca="1">IFERROR(__xludf.DUMMYFUNCTION("""COMPUTED_VALUE"""),45692.1666666666)</f>
        <v>45692.166666666599</v>
      </c>
      <c r="L506" s="373">
        <f ca="1">IFERROR(__xludf.DUMMYFUNCTION("""COMPUTED_VALUE"""),45692.125)</f>
        <v>45692.125</v>
      </c>
      <c r="M506" s="360" t="str">
        <f ca="1">IFERROR(__xludf.DUMMYFUNCTION("""COMPUTED_VALUE"""),"02/04/2025 NOON")</f>
        <v>02/04/2025 NOON</v>
      </c>
    </row>
    <row r="507" spans="1:13" ht="18.75">
      <c r="A507" s="360"/>
      <c r="B507" s="360"/>
      <c r="C507" s="361" t="str">
        <f ca="1">IFERROR(__xludf.DUMMYFUNCTION("""COMPUTED_VALUE"""),"THLCB")</f>
        <v>THLCB</v>
      </c>
      <c r="D507" s="366">
        <f ca="1">IFERROR(__xludf.DUMMYFUNCTION("""COMPUTED_VALUE"""),45720.375)</f>
        <v>45720.375</v>
      </c>
      <c r="E507" s="360"/>
      <c r="F507" s="360" t="str">
        <f ca="1">IFERROR(__xludf.DUMMYFUNCTION("""COMPUTED_VALUE"""),"28/03/2025 13:00")</f>
        <v>28/03/2025 13:00</v>
      </c>
      <c r="G507" s="360" t="str">
        <f ca="1">IFERROR(__xludf.DUMMYFUNCTION("""COMPUTED_VALUE"""),"29/03/2025 15:00")</f>
        <v>29/03/2025 15:00</v>
      </c>
      <c r="H507" s="360" t="str">
        <f ca="1">IFERROR(__xludf.DUMMYFUNCTION("""COMPUTED_VALUE"""),"29/03/2025 13:00")</f>
        <v>29/03/2025 13:00</v>
      </c>
      <c r="I507" s="362" t="str">
        <f ca="1">IFERROR(__xludf.DUMMYFUNCTION("""COMPUTED_VALUE"""),"31/03/2025 15:00:00")</f>
        <v>31/03/2025 15:00:00</v>
      </c>
      <c r="J507" s="369">
        <f ca="1">IFERROR(__xludf.DUMMYFUNCTION("""COMPUTED_VALUE"""),45661.6666666666)</f>
        <v>45661.666666666599</v>
      </c>
      <c r="K507" s="370">
        <f ca="1">IFERROR(__xludf.DUMMYFUNCTION("""COMPUTED_VALUE"""),45692.875)</f>
        <v>45692.875</v>
      </c>
      <c r="L507" s="373">
        <f ca="1">IFERROR(__xludf.DUMMYFUNCTION("""COMPUTED_VALUE"""),45692.8333333333)</f>
        <v>45692.833333333299</v>
      </c>
      <c r="M507" s="360" t="str">
        <f ca="1">IFERROR(__xludf.DUMMYFUNCTION("""COMPUTED_VALUE"""),"03/04/2025 MORNING")</f>
        <v>03/04/2025 MORNING</v>
      </c>
    </row>
    <row r="508" spans="1:13" ht="18.75">
      <c r="A508" s="360" t="str">
        <f ca="1">IFERROR(__xludf.DUMMYFUNCTION("""COMPUTED_VALUE"""),"CHT")</f>
        <v>CHT</v>
      </c>
      <c r="B508" s="360" t="str">
        <f ca="1">IFERROR(__xludf.DUMMYFUNCTION("""COMPUTED_VALUE"""),"TS TIANJIN V.25003N")</f>
        <v>TS TIANJIN V.25003N</v>
      </c>
      <c r="C508" s="361" t="str">
        <f ca="1">IFERROR(__xludf.DUMMYFUNCTION("""COMPUTED_VALUE"""),"THBKK")</f>
        <v>THBKK</v>
      </c>
      <c r="D508" s="360" t="str">
        <f ca="1">IFERROR(__xludf.DUMMYFUNCTION("""COMPUTED_VALUE"""),"19/03/2025 18:00")</f>
        <v>19/03/2025 18:00</v>
      </c>
      <c r="E508" s="360" t="str">
        <f ca="1">IFERROR(__xludf.DUMMYFUNCTION("""COMPUTED_VALUE"""),"34.11 21/03/2025")</f>
        <v>34.11 21/03/2025</v>
      </c>
      <c r="F508" s="360" t="str">
        <f ca="1">IFERROR(__xludf.DUMMYFUNCTION("""COMPUTED_VALUE"""),"25/03/2025 13:00")</f>
        <v>25/03/2025 13:00</v>
      </c>
      <c r="G508" s="360" t="str">
        <f ca="1">IFERROR(__xludf.DUMMYFUNCTION("""COMPUTED_VALUE"""),"26/03/2025 15:00")</f>
        <v>26/03/2025 15:00</v>
      </c>
      <c r="H508" s="360" t="str">
        <f ca="1">IFERROR(__xludf.DUMMYFUNCTION("""COMPUTED_VALUE"""),"26/03/2025 13:00")</f>
        <v>26/03/2025 13:00</v>
      </c>
      <c r="I508" s="362" t="str">
        <f ca="1">IFERROR(__xludf.DUMMYFUNCTION("""COMPUTED_VALUE"""),"27/03/2025 15:00")</f>
        <v>27/03/2025 15:00</v>
      </c>
      <c r="J508" s="362" t="str">
        <f ca="1">IFERROR(__xludf.DUMMYFUNCTION("""COMPUTED_VALUE"""),"28/03/2025 16:00")</f>
        <v>28/03/2025 16:00</v>
      </c>
      <c r="K508" s="370" t="str">
        <f ca="1">IFERROR(__xludf.DUMMYFUNCTION("""COMPUTED_VALUE"""),"31/03/2025 16:00")</f>
        <v>31/03/2025 16:00</v>
      </c>
      <c r="L508" s="373" t="str">
        <f ca="1">IFERROR(__xludf.DUMMYFUNCTION("""COMPUTED_VALUE"""),"31/03/2025 16:00")</f>
        <v>31/03/2025 16:00</v>
      </c>
      <c r="M508" s="360" t="str">
        <f ca="1">IFERROR(__xludf.DUMMYFUNCTION("""COMPUTED_VALUE"""),"01/04/2025 MORNING")</f>
        <v>01/04/2025 MORNING</v>
      </c>
    </row>
    <row r="509" spans="1:13" ht="18.75">
      <c r="A509" s="360"/>
      <c r="B509" s="360"/>
      <c r="C509" s="361" t="str">
        <f ca="1">IFERROR(__xludf.DUMMYFUNCTION("""COMPUTED_VALUE"""),"THLCB")</f>
        <v>THLCB</v>
      </c>
      <c r="D509" s="360" t="str">
        <f ca="1">IFERROR(__xludf.DUMMYFUNCTION("""COMPUTED_VALUE"""),"20/03/2025 12:00")</f>
        <v>20/03/2025 12:00</v>
      </c>
      <c r="E509" s="360"/>
      <c r="F509" s="360" t="str">
        <f ca="1">IFERROR(__xludf.DUMMYFUNCTION("""COMPUTED_VALUE"""),"28/03/2025 13:00")</f>
        <v>28/03/2025 13:00</v>
      </c>
      <c r="G509" s="360" t="str">
        <f ca="1">IFERROR(__xludf.DUMMYFUNCTION("""COMPUTED_VALUE"""),"28/03/2025 15:00")</f>
        <v>28/03/2025 15:00</v>
      </c>
      <c r="H509" s="360" t="str">
        <f ca="1">IFERROR(__xludf.DUMMYFUNCTION("""COMPUTED_VALUE"""),"28/03/2025 13:00")</f>
        <v>28/03/2025 13:00</v>
      </c>
      <c r="I509" s="362" t="str">
        <f ca="1">IFERROR(__xludf.DUMMYFUNCTION("""COMPUTED_VALUE"""),"28/03/2025 15:00")</f>
        <v>28/03/2025 15:00</v>
      </c>
      <c r="J509" s="362" t="str">
        <f ca="1">IFERROR(__xludf.DUMMYFUNCTION("""COMPUTED_VALUE"""),"31/03/2025 16:00")</f>
        <v>31/03/2025 16:00</v>
      </c>
      <c r="K509" s="370">
        <f ca="1">IFERROR(__xludf.DUMMYFUNCTION("""COMPUTED_VALUE"""),45661.8333333333)</f>
        <v>45661.833333333299</v>
      </c>
      <c r="L509" s="373">
        <f ca="1">IFERROR(__xludf.DUMMYFUNCTION("""COMPUTED_VALUE"""),45661.7083333333)</f>
        <v>45661.708333333299</v>
      </c>
      <c r="M509" s="360" t="str">
        <f ca="1">IFERROR(__xludf.DUMMYFUNCTION("""COMPUTED_VALUE"""),"02/04/2025 MORNING")</f>
        <v>02/04/2025 MORNING</v>
      </c>
    </row>
    <row r="510" spans="1:13" ht="18.75">
      <c r="A510" s="360" t="str">
        <f ca="1">IFERROR(__xludf.DUMMYFUNCTION("""COMPUTED_VALUE"""),"CVT")</f>
        <v>CVT</v>
      </c>
      <c r="B510" s="360" t="str">
        <f ca="1">IFERROR(__xludf.DUMMYFUNCTION("""COMPUTED_VALUE"""),"AVIOS V.2505N")</f>
        <v>AVIOS V.2505N</v>
      </c>
      <c r="C510" s="361" t="str">
        <f ca="1">IFERROR(__xludf.DUMMYFUNCTION("""COMPUTED_VALUE"""),"THBKK")</f>
        <v>THBKK</v>
      </c>
      <c r="D510" s="360" t="str">
        <f ca="1">IFERROR(__xludf.DUMMYFUNCTION("""COMPUTED_VALUE"""),"27/03/2025 08:00")</f>
        <v>27/03/2025 08:00</v>
      </c>
      <c r="E510" s="360" t="str">
        <f ca="1">IFERROR(__xludf.DUMMYFUNCTION("""COMPUTED_VALUE"""),"33.93 20/03/2025")</f>
        <v>33.93 20/03/2025</v>
      </c>
      <c r="F510" s="360" t="str">
        <f ca="1">IFERROR(__xludf.DUMMYFUNCTION("""COMPUTED_VALUE"""),"25/03/2025 13:00")</f>
        <v>25/03/2025 13:00</v>
      </c>
      <c r="G510" s="360" t="str">
        <f ca="1">IFERROR(__xludf.DUMMYFUNCTION("""COMPUTED_VALUE"""),"26/03/2025 15:00")</f>
        <v>26/03/2025 15:00</v>
      </c>
      <c r="H510" s="360" t="str">
        <f ca="1">IFERROR(__xludf.DUMMYFUNCTION("""COMPUTED_VALUE"""),"26/03/2025 13:00")</f>
        <v>26/03/2025 13:00</v>
      </c>
      <c r="I510" s="362" t="str">
        <f ca="1">IFERROR(__xludf.DUMMYFUNCTION("""COMPUTED_VALUE"""),"27/03/2025 15:00")</f>
        <v>27/03/2025 15:00</v>
      </c>
      <c r="J510" s="362" t="str">
        <f ca="1">IFERROR(__xludf.DUMMYFUNCTION("""COMPUTED_VALUE"""),"28/03/2025 16:00")</f>
        <v>28/03/2025 16:00</v>
      </c>
      <c r="K510" s="370" t="str">
        <f ca="1">IFERROR(__xludf.DUMMYFUNCTION("""COMPUTED_VALUE"""),"30/03/2025 16:00")</f>
        <v>30/03/2025 16:00</v>
      </c>
      <c r="L510" s="373" t="str">
        <f ca="1">IFERROR(__xludf.DUMMYFUNCTION("""COMPUTED_VALUE"""),"30/03/2025  14:00")</f>
        <v>30/03/2025  14:00</v>
      </c>
      <c r="M510" s="360" t="str">
        <f ca="1">IFERROR(__xludf.DUMMYFUNCTION("""COMPUTED_VALUE"""),"31/03/2025 MORNING")</f>
        <v>31/03/2025 MORNING</v>
      </c>
    </row>
    <row r="511" spans="1:13" ht="18.75">
      <c r="A511" s="360"/>
      <c r="B511" s="360"/>
      <c r="C511" s="361" t="str">
        <f ca="1">IFERROR(__xludf.DUMMYFUNCTION("""COMPUTED_VALUE"""),"THLCB")</f>
        <v>THLCB</v>
      </c>
      <c r="D511" s="360" t="str">
        <f ca="1">IFERROR(__xludf.DUMMYFUNCTION("""COMPUTED_VALUE"""),"28/03/2025 04:00")</f>
        <v>28/03/2025 04:00</v>
      </c>
      <c r="E511" s="360"/>
      <c r="F511" s="360" t="str">
        <f ca="1">IFERROR(__xludf.DUMMYFUNCTION("""COMPUTED_VALUE"""),"28/03/2025 13:00")</f>
        <v>28/03/2025 13:00</v>
      </c>
      <c r="G511" s="360" t="str">
        <f ca="1">IFERROR(__xludf.DUMMYFUNCTION("""COMPUTED_VALUE"""),"28/03/2025 15:00")</f>
        <v>28/03/2025 15:00</v>
      </c>
      <c r="H511" s="360" t="str">
        <f ca="1">IFERROR(__xludf.DUMMYFUNCTION("""COMPUTED_VALUE"""),"28/03/2025 13:00")</f>
        <v>28/03/2025 13:00</v>
      </c>
      <c r="I511" s="362" t="str">
        <f ca="1">IFERROR(__xludf.DUMMYFUNCTION("""COMPUTED_VALUE"""),"28/03/2025 15:00")</f>
        <v>28/03/2025 15:00</v>
      </c>
      <c r="J511" s="362" t="str">
        <f ca="1">IFERROR(__xludf.DUMMYFUNCTION("""COMPUTED_VALUE"""),"31/03/2025 16:00")</f>
        <v>31/03/2025 16:00</v>
      </c>
      <c r="K511" s="370">
        <f ca="1">IFERROR(__xludf.DUMMYFUNCTION("""COMPUTED_VALUE"""),45661.2916666666)</f>
        <v>45661.291666666599</v>
      </c>
      <c r="L511" s="373">
        <f ca="1">IFERROR(__xludf.DUMMYFUNCTION("""COMPUTED_VALUE"""),45661.2916666666)</f>
        <v>45661.291666666599</v>
      </c>
      <c r="M511" s="360" t="str">
        <f ca="1">IFERROR(__xludf.DUMMYFUNCTION("""COMPUTED_VALUE"""),"01/04/2025 NOON")</f>
        <v>01/04/2025 NOON</v>
      </c>
    </row>
    <row r="512" spans="1:13" ht="18.75">
      <c r="A512" s="360" t="str">
        <f ca="1">IFERROR(__xludf.DUMMYFUNCTION("""COMPUTED_VALUE"""),"CHT")</f>
        <v>CHT</v>
      </c>
      <c r="B512" s="360" t="str">
        <f ca="1">IFERROR(__xludf.DUMMYFUNCTION("""COMPUTED_VALUE"""),"KMTC POHANG V.2503N")</f>
        <v>KMTC POHANG V.2503N</v>
      </c>
      <c r="C512" s="361" t="str">
        <f ca="1">IFERROR(__xludf.DUMMYFUNCTION("""COMPUTED_VALUE"""),"THBKK")</f>
        <v>THBKK</v>
      </c>
      <c r="D512" s="360" t="str">
        <f ca="1">IFERROR(__xludf.DUMMYFUNCTION("""COMPUTED_VALUE"""),"26/03/2025 18:00")</f>
        <v>26/03/2025 18:00</v>
      </c>
      <c r="E512" s="360" t="str">
        <f ca="1">IFERROR(__xludf.DUMMYFUNCTION("""COMPUTED_VALUE"""),"34.26 28/03/2025")</f>
        <v>34.26 28/03/2025</v>
      </c>
      <c r="F512" s="366">
        <f ca="1">IFERROR(__xludf.DUMMYFUNCTION("""COMPUTED_VALUE"""),45692.5416666666)</f>
        <v>45692.541666666599</v>
      </c>
      <c r="G512" s="366">
        <f ca="1">IFERROR(__xludf.DUMMYFUNCTION("""COMPUTED_VALUE"""),45720.625)</f>
        <v>45720.625</v>
      </c>
      <c r="H512" s="366">
        <f ca="1">IFERROR(__xludf.DUMMYFUNCTION("""COMPUTED_VALUE"""),45720.5416666666)</f>
        <v>45720.541666666599</v>
      </c>
      <c r="I512" s="369">
        <f ca="1">IFERROR(__xludf.DUMMYFUNCTION("""COMPUTED_VALUE"""),45751.625)</f>
        <v>45751.625</v>
      </c>
      <c r="J512" s="369">
        <f ca="1">IFERROR(__xludf.DUMMYFUNCTION("""COMPUTED_VALUE"""),45751.6666666666)</f>
        <v>45751.666666666599</v>
      </c>
      <c r="K512" s="370">
        <f ca="1">IFERROR(__xludf.DUMMYFUNCTION("""COMPUTED_VALUE"""),45781.75)</f>
        <v>45781.75</v>
      </c>
      <c r="L512" s="373">
        <f ca="1">IFERROR(__xludf.DUMMYFUNCTION("""COMPUTED_VALUE"""),45781.875)</f>
        <v>45781.875</v>
      </c>
      <c r="M512" s="360" t="str">
        <f ca="1">IFERROR(__xludf.DUMMYFUNCTION("""COMPUTED_VALUE"""),"08/04/2025 MORNING")</f>
        <v>08/04/2025 MORNING</v>
      </c>
    </row>
    <row r="513" spans="1:13" ht="18.75">
      <c r="A513" s="360"/>
      <c r="B513" s="360"/>
      <c r="C513" s="361" t="str">
        <f ca="1">IFERROR(__xludf.DUMMYFUNCTION("""COMPUTED_VALUE"""),"THLCB")</f>
        <v>THLCB</v>
      </c>
      <c r="D513" s="360" t="str">
        <f ca="1">IFERROR(__xludf.DUMMYFUNCTION("""COMPUTED_VALUE"""),"27/03/2025 12:00")</f>
        <v>27/03/2025 12:00</v>
      </c>
      <c r="E513" s="360"/>
      <c r="F513" s="366">
        <f ca="1">IFERROR(__xludf.DUMMYFUNCTION("""COMPUTED_VALUE"""),45720.5416666666)</f>
        <v>45720.541666666599</v>
      </c>
      <c r="G513" s="366">
        <f ca="1">IFERROR(__xludf.DUMMYFUNCTION("""COMPUTED_VALUE"""),45751.625)</f>
        <v>45751.625</v>
      </c>
      <c r="H513" s="366">
        <f ca="1">IFERROR(__xludf.DUMMYFUNCTION("""COMPUTED_VALUE"""),45751.5416666666)</f>
        <v>45751.541666666599</v>
      </c>
      <c r="I513" s="369">
        <f ca="1">IFERROR(__xludf.DUMMYFUNCTION("""COMPUTED_VALUE"""),45751.625)</f>
        <v>45751.625</v>
      </c>
      <c r="J513" s="369">
        <f ca="1">IFERROR(__xludf.DUMMYFUNCTION("""COMPUTED_VALUE"""),45751.6666666666)</f>
        <v>45751.666666666599</v>
      </c>
      <c r="K513" s="370">
        <f ca="1">IFERROR(__xludf.DUMMYFUNCTION("""COMPUTED_VALUE"""),45842.5)</f>
        <v>45842.5</v>
      </c>
      <c r="L513" s="373">
        <f ca="1">IFERROR(__xludf.DUMMYFUNCTION("""COMPUTED_VALUE"""),45842.2083333333)</f>
        <v>45842.208333333299</v>
      </c>
      <c r="M513" s="360" t="str">
        <f ca="1">IFERROR(__xludf.DUMMYFUNCTION("""COMPUTED_VALUE"""),"08/04/2025 MORNING")</f>
        <v>08/04/2025 MORNING</v>
      </c>
    </row>
    <row r="514" spans="1:13" ht="18.75">
      <c r="A514" s="360"/>
      <c r="B514" s="360"/>
      <c r="C514" s="361"/>
      <c r="D514" s="360"/>
      <c r="E514" s="360"/>
      <c r="F514" s="360"/>
      <c r="G514" s="360"/>
      <c r="H514" s="360"/>
      <c r="I514" s="362"/>
      <c r="J514" s="362"/>
      <c r="K514" s="362"/>
      <c r="L514" s="360"/>
      <c r="M514" s="360"/>
    </row>
    <row r="515" spans="1:13" ht="18.75">
      <c r="A515" s="360"/>
      <c r="B515" s="360" t="str">
        <f ca="1">IFERROR(__xludf.DUMMYFUNCTION("""COMPUTED_VALUE"""),"WEEK 13/2025")</f>
        <v>WEEK 13/2025</v>
      </c>
      <c r="C515" s="361"/>
      <c r="D515" s="360"/>
      <c r="E515" s="360"/>
      <c r="F515" s="360"/>
      <c r="G515" s="360"/>
      <c r="H515" s="360"/>
      <c r="I515" s="362"/>
      <c r="J515" s="362"/>
      <c r="K515" s="362"/>
      <c r="L515" s="360"/>
      <c r="M515" s="360"/>
    </row>
    <row r="516" spans="1:13" ht="18.75">
      <c r="A516" s="360"/>
      <c r="B516" s="360"/>
      <c r="C516" s="361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516" s="360"/>
      <c r="E516" s="360"/>
      <c r="F516" s="360"/>
      <c r="G516" s="360"/>
      <c r="H516" s="360"/>
      <c r="I516" s="362"/>
      <c r="J516" s="362"/>
      <c r="K516" s="362"/>
      <c r="L516" s="360"/>
      <c r="M516" s="360"/>
    </row>
    <row r="517" spans="1:13" ht="18.75">
      <c r="A517" s="360" t="str">
        <f ca="1">IFERROR(__xludf.DUMMYFUNCTION("""COMPUTED_VALUE"""),"SERVICE")</f>
        <v>SERVICE</v>
      </c>
      <c r="B517" s="360" t="str">
        <f ca="1">IFERROR(__xludf.DUMMYFUNCTION("""COMPUTED_VALUE"""),"VESSEL NAME")</f>
        <v>VESSEL NAME</v>
      </c>
      <c r="C517" s="361" t="str">
        <f ca="1">IFERROR(__xludf.DUMMYFUNCTION("""COMPUTED_VALUE"""),"PORT")</f>
        <v>PORT</v>
      </c>
      <c r="D517" s="360" t="str">
        <f ca="1">IFERROR(__xludf.DUMMYFUNCTION("""COMPUTED_VALUE"""),"PERFOMA ETD")</f>
        <v>PERFOMA ETD</v>
      </c>
      <c r="E517" s="360" t="str">
        <f ca="1">IFERROR(__xludf.DUMMYFUNCTION("""COMPUTED_VALUE"""),"EX.RATE/DATE/")</f>
        <v>EX.RATE/DATE/</v>
      </c>
      <c r="F517" s="360" t="str">
        <f ca="1">IFERROR(__xludf.DUMMYFUNCTION("""COMPUTED_VALUE"""),"SI CUT OFF USA")</f>
        <v>SI CUT OFF USA</v>
      </c>
      <c r="G517" s="360" t="str">
        <f ca="1">IFERROR(__xludf.DUMMYFUNCTION("""COMPUTED_VALUE"""),"SI CUT OFF")</f>
        <v>SI CUT OFF</v>
      </c>
      <c r="H517" s="360" t="str">
        <f ca="1">IFERROR(__xludf.DUMMYFUNCTION("""COMPUTED_VALUE"""),"B/L CFM USA")</f>
        <v>B/L CFM USA</v>
      </c>
      <c r="I517" s="362" t="str">
        <f ca="1">IFERROR(__xludf.DUMMYFUNCTION("""COMPUTED_VALUE"""),"B/L CFM CHINA,JP,VN")</f>
        <v>B/L CFM CHINA,JP,VN</v>
      </c>
      <c r="J517" s="362" t="str">
        <f ca="1">IFERROR(__xludf.DUMMYFUNCTION("""COMPUTED_VALUE"""),"B/L CONFIRM")</f>
        <v>B/L CONFIRM</v>
      </c>
      <c r="K517" s="362" t="str">
        <f ca="1">IFERROR(__xludf.DUMMYFUNCTION("""COMPUTED_VALUE"""),"ETD")</f>
        <v>ETD</v>
      </c>
      <c r="L517" s="360" t="str">
        <f ca="1">IFERROR(__xludf.DUMMYFUNCTION("""COMPUTED_VALUE"""),"ATD")</f>
        <v>ATD</v>
      </c>
      <c r="M517" s="360" t="str">
        <f ca="1">IFERROR(__xludf.DUMMYFUNCTION("""COMPUTED_VALUE"""),"B/L ISSUED DATE")</f>
        <v>B/L ISSUED DATE</v>
      </c>
    </row>
    <row r="518" spans="1:13" ht="18.75">
      <c r="A518" s="360"/>
      <c r="B518" s="360"/>
      <c r="C518" s="361"/>
      <c r="D518" s="360"/>
      <c r="E518" s="360" t="str">
        <f ca="1">IFERROR(__xludf.DUMMYFUNCTION("""COMPUTED_VALUE"""),"BANGKOK BANK")</f>
        <v>BANGKOK BANK</v>
      </c>
      <c r="F518" s="360" t="str">
        <f ca="1">IFERROR(__xludf.DUMMYFUNCTION("""COMPUTED_VALUE"""),"4 days before ETD")</f>
        <v>4 days before ETD</v>
      </c>
      <c r="G518" s="360"/>
      <c r="H518" s="360" t="str">
        <f ca="1">IFERROR(__xludf.DUMMYFUNCTION("""COMPUTED_VALUE"""),"3 days before ETD")</f>
        <v>3 days before ETD</v>
      </c>
      <c r="I518" s="362" t="str">
        <f ca="1">IFERROR(__xludf.DUMMYFUNCTION("""COMPUTED_VALUE"""),"Direct port CUT OFF")</f>
        <v>Direct port CUT OFF</v>
      </c>
      <c r="J518" s="362" t="str">
        <f ca="1">IFERROR(__xludf.DUMMYFUNCTION("""COMPUTED_VALUE"""),"Orther port CUT OFF")</f>
        <v>Orther port CUT OFF</v>
      </c>
      <c r="K518" s="362" t="str">
        <f ca="1">IFERROR(__xludf.DUMMYFUNCTION("""COMPUTED_VALUE"""),"ON BOARD DATE")</f>
        <v>ON BOARD DATE</v>
      </c>
      <c r="L518" s="360" t="str">
        <f ca="1">IFERROR(__xludf.DUMMYFUNCTION("""COMPUTED_VALUE"""),"วันเรือออกจริง")</f>
        <v>วันเรือออกจริง</v>
      </c>
      <c r="M518" s="360" t="str">
        <f ca="1">IFERROR(__xludf.DUMMYFUNCTION("""COMPUTED_VALUE"""),"วันปล่อยบีแอล")</f>
        <v>วันปล่อยบีแอล</v>
      </c>
    </row>
    <row r="519" spans="1:13" ht="18.75">
      <c r="A519" s="360"/>
      <c r="B519" s="360"/>
      <c r="C519" s="361"/>
      <c r="D519" s="360"/>
      <c r="E519" s="360"/>
      <c r="F519" s="360"/>
      <c r="G519" s="360" t="str">
        <f ca="1">IFERROR(__xludf.DUMMYFUNCTION("""COMPUTED_VALUE"""),"3 days before ETD")</f>
        <v>3 days before ETD</v>
      </c>
      <c r="H519" s="360"/>
      <c r="I519" s="362" t="str">
        <f ca="1">IFERROR(__xludf.DUMMYFUNCTION("""COMPUTED_VALUE"""),"2 days before ETD")</f>
        <v>2 days before ETD</v>
      </c>
      <c r="J519" s="362" t="str">
        <f ca="1">IFERROR(__xludf.DUMMYFUNCTION("""COMPUTED_VALUE"""),"1 days before ETD")</f>
        <v>1 days before ETD</v>
      </c>
      <c r="K519" s="362" t="str">
        <f ca="1">IFERROR(__xludf.DUMMYFUNCTION("""COMPUTED_VALUE"""),"SHOW ON B/L")</f>
        <v>SHOW ON B/L</v>
      </c>
      <c r="L519" s="360"/>
      <c r="M519" s="360"/>
    </row>
    <row r="520" spans="1:13" ht="18.75">
      <c r="A520" s="360" t="str">
        <f ca="1">IFERROR(__xludf.DUMMYFUNCTION("""COMPUTED_VALUE"""),"JHTS")</f>
        <v>JHTS</v>
      </c>
      <c r="B520" s="360" t="str">
        <f ca="1">IFERROR(__xludf.DUMMYFUNCTION("""COMPUTED_VALUE"""),"TS KAOHSIUNG V.25005N")</f>
        <v>TS KAOHSIUNG V.25005N</v>
      </c>
      <c r="C520" s="361" t="str">
        <f ca="1">IFERROR(__xludf.DUMMYFUNCTION("""COMPUTED_VALUE"""),"THBKK")</f>
        <v>THBKK</v>
      </c>
      <c r="D520" s="360" t="str">
        <f ca="1">IFERROR(__xludf.DUMMYFUNCTION("""COMPUTED_VALUE"""),"23/03/2025 06:00")</f>
        <v>23/03/2025 06:00</v>
      </c>
      <c r="E520" s="360" t="str">
        <f ca="1">IFERROR(__xludf.DUMMYFUNCTION("""COMPUTED_VALUE"""),"33.87 18/03/2025")</f>
        <v>33.87 18/03/2025</v>
      </c>
      <c r="F520" s="360" t="str">
        <f ca="1">IFERROR(__xludf.DUMMYFUNCTION("""COMPUTED_VALUE"""),"21/03/2025 13:00")</f>
        <v>21/03/2025 13:00</v>
      </c>
      <c r="G520" s="360" t="str">
        <f ca="1">IFERROR(__xludf.DUMMYFUNCTION("""COMPUTED_VALUE"""),"22/03/2025 15:00")</f>
        <v>22/03/2025 15:00</v>
      </c>
      <c r="H520" s="360" t="str">
        <f ca="1">IFERROR(__xludf.DUMMYFUNCTION("""COMPUTED_VALUE"""),"22/03/2025 13:00")</f>
        <v>22/03/2025 13:00</v>
      </c>
      <c r="I520" s="362" t="str">
        <f ca="1">IFERROR(__xludf.DUMMYFUNCTION("""COMPUTED_VALUE"""),"24/03/2025 15:00")</f>
        <v>24/03/2025 15:00</v>
      </c>
      <c r="J520" s="362" t="str">
        <f ca="1">IFERROR(__xludf.DUMMYFUNCTION("""COMPUTED_VALUE"""),"25/03/2025 16:00")</f>
        <v>25/03/2025 16:00</v>
      </c>
      <c r="K520" s="362" t="str">
        <f ca="1">IFERROR(__xludf.DUMMYFUNCTION("""COMPUTED_VALUE"""),"26/03/2025 07:00")</f>
        <v>26/03/2025 07:00</v>
      </c>
      <c r="L520" s="360" t="str">
        <f ca="1">IFERROR(__xludf.DUMMYFUNCTION("""COMPUTED_VALUE"""),"26/03/2025 06.00")</f>
        <v>26/03/2025 06.00</v>
      </c>
      <c r="M520" s="360" t="str">
        <f ca="1">IFERROR(__xludf.DUMMYFUNCTION("""COMPUTED_VALUE"""),"26/03/2025 NOON")</f>
        <v>26/03/2025 NOON</v>
      </c>
    </row>
    <row r="521" spans="1:13" ht="18.75">
      <c r="A521" s="360"/>
      <c r="B521" s="360"/>
      <c r="C521" s="361" t="str">
        <f ca="1">IFERROR(__xludf.DUMMYFUNCTION("""COMPUTED_VALUE"""),"THLCB")</f>
        <v>THLCB</v>
      </c>
      <c r="D521" s="360" t="str">
        <f ca="1">IFERROR(__xludf.DUMMYFUNCTION("""COMPUTED_VALUE"""),"24/03/2025 06:00")</f>
        <v>24/03/2025 06:00</v>
      </c>
      <c r="E521" s="360"/>
      <c r="F521" s="360" t="str">
        <f ca="1">IFERROR(__xludf.DUMMYFUNCTION("""COMPUTED_VALUE"""),"22/03/2025 13:00")</f>
        <v>22/03/2025 13:00</v>
      </c>
      <c r="G521" s="360" t="str">
        <f ca="1">IFERROR(__xludf.DUMMYFUNCTION("""COMPUTED_VALUE"""),"24/03/2025 15:00")</f>
        <v>24/03/2025 15:00</v>
      </c>
      <c r="H521" s="360" t="str">
        <f ca="1">IFERROR(__xludf.DUMMYFUNCTION("""COMPUTED_VALUE"""),"24/03/2025 13:00")</f>
        <v>24/03/2025 13:00</v>
      </c>
      <c r="I521" s="362" t="str">
        <f ca="1">IFERROR(__xludf.DUMMYFUNCTION("""COMPUTED_VALUE"""),"25/03/2025 15:00")</f>
        <v>25/03/2025 15:00</v>
      </c>
      <c r="J521" s="362" t="str">
        <f ca="1">IFERROR(__xludf.DUMMYFUNCTION("""COMPUTED_VALUE"""),"26/03/2025 16:00")</f>
        <v>26/03/2025 16:00</v>
      </c>
      <c r="K521" s="362" t="str">
        <f ca="1">IFERROR(__xludf.DUMMYFUNCTION("""COMPUTED_VALUE"""),"27/03/2025 02:30")</f>
        <v>27/03/2025 02:30</v>
      </c>
      <c r="L521" s="360" t="str">
        <f ca="1">IFERROR(__xludf.DUMMYFUNCTION("""COMPUTED_VALUE"""),"26/03/2025  21:00")</f>
        <v>26/03/2025  21:00</v>
      </c>
      <c r="M521" s="360" t="str">
        <f ca="1">IFERROR(__xludf.DUMMYFUNCTION("""COMPUTED_VALUE"""),"27/03/2025 NOON")</f>
        <v>27/03/2025 NOON</v>
      </c>
    </row>
    <row r="522" spans="1:13" ht="18.75">
      <c r="A522" s="360" t="str">
        <f ca="1">IFERROR(__xludf.DUMMYFUNCTION("""COMPUTED_VALUE"""),"TRX")</f>
        <v>TRX</v>
      </c>
      <c r="B522" s="360" t="str">
        <f ca="1">IFERROR(__xludf.DUMMYFUNCTION("""COMPUTED_VALUE"""),"TS NAGOYA V.25004N")</f>
        <v>TS NAGOYA V.25004N</v>
      </c>
      <c r="C522" s="361" t="str">
        <f ca="1">IFERROR(__xludf.DUMMYFUNCTION("""COMPUTED_VALUE"""),"THBKK")</f>
        <v>THBKK</v>
      </c>
      <c r="D522" s="360" t="str">
        <f ca="1">IFERROR(__xludf.DUMMYFUNCTION("""COMPUTED_VALUE"""),"25/03/2025 19:30")</f>
        <v>25/03/2025 19:30</v>
      </c>
      <c r="E522" s="360" t="str">
        <f ca="1">IFERROR(__xludf.DUMMYFUNCTION("""COMPUTED_VALUE"""),"33.87 18/03/2025")</f>
        <v>33.87 18/03/2025</v>
      </c>
      <c r="F522" s="360" t="str">
        <f ca="1">IFERROR(__xludf.DUMMYFUNCTION("""COMPUTED_VALUE"""),"21/03/2025 13:00")</f>
        <v>21/03/2025 13:00</v>
      </c>
      <c r="G522" s="360" t="str">
        <f ca="1">IFERROR(__xludf.DUMMYFUNCTION("""COMPUTED_VALUE"""),"22/03/2025 15:00")</f>
        <v>22/03/2025 15:00</v>
      </c>
      <c r="H522" s="360" t="str">
        <f ca="1">IFERROR(__xludf.DUMMYFUNCTION("""COMPUTED_VALUE"""),"22/03/2025 13:00")</f>
        <v>22/03/2025 13:00</v>
      </c>
      <c r="I522" s="362" t="str">
        <f ca="1">IFERROR(__xludf.DUMMYFUNCTION("""COMPUTED_VALUE"""),"24/03/2025 15:00")</f>
        <v>24/03/2025 15:00</v>
      </c>
      <c r="J522" s="362" t="str">
        <f ca="1">IFERROR(__xludf.DUMMYFUNCTION("""COMPUTED_VALUE"""),"25/03/2025 16:00")</f>
        <v>25/03/2025 16:00</v>
      </c>
      <c r="K522" s="362" t="str">
        <f ca="1">IFERROR(__xludf.DUMMYFUNCTION("""COMPUTED_VALUE"""),"26/03/2025 07:00")</f>
        <v>26/03/2025 07:00</v>
      </c>
      <c r="L522" s="360" t="str">
        <f ca="1">IFERROR(__xludf.DUMMYFUNCTION("""COMPUTED_VALUE"""),"26/03/2025  10:45")</f>
        <v>26/03/2025  10:45</v>
      </c>
      <c r="M522" s="360" t="str">
        <f ca="1">IFERROR(__xludf.DUMMYFUNCTION("""COMPUTED_VALUE"""),"26/03/2025 NOON")</f>
        <v>26/03/2025 NOON</v>
      </c>
    </row>
    <row r="523" spans="1:13" ht="18.75">
      <c r="A523" s="360"/>
      <c r="B523" s="360"/>
      <c r="C523" s="361" t="str">
        <f ca="1">IFERROR(__xludf.DUMMYFUNCTION("""COMPUTED_VALUE"""),"THLCB")</f>
        <v>THLCB</v>
      </c>
      <c r="D523" s="360" t="str">
        <f ca="1">IFERROR(__xludf.DUMMYFUNCTION("""COMPUTED_VALUE"""),"26/03/2025 09:00")</f>
        <v>26/03/2025 09:00</v>
      </c>
      <c r="E523" s="360"/>
      <c r="F523" s="360" t="str">
        <f ca="1">IFERROR(__xludf.DUMMYFUNCTION("""COMPUTED_VALUE"""),"24/03/2025 13:00")</f>
        <v>24/03/2025 13:00</v>
      </c>
      <c r="G523" s="360" t="str">
        <f ca="1">IFERROR(__xludf.DUMMYFUNCTION("""COMPUTED_VALUE"""),"25/03/2025 15:00")</f>
        <v>25/03/2025 15:00</v>
      </c>
      <c r="H523" s="360" t="str">
        <f ca="1">IFERROR(__xludf.DUMMYFUNCTION("""COMPUTED_VALUE"""),"25/03/2025 13:00")</f>
        <v>25/03/2025 13:00</v>
      </c>
      <c r="I523" s="362" t="str">
        <f ca="1">IFERROR(__xludf.DUMMYFUNCTION("""COMPUTED_VALUE"""),"26/03/2025 15:00")</f>
        <v>26/03/2025 15:00</v>
      </c>
      <c r="J523" s="362" t="str">
        <f ca="1">IFERROR(__xludf.DUMMYFUNCTION("""COMPUTED_VALUE"""),"27/03/2025 16:00")</f>
        <v>27/03/2025 16:00</v>
      </c>
      <c r="K523" s="362" t="str">
        <f ca="1">IFERROR(__xludf.DUMMYFUNCTION("""COMPUTED_VALUE"""),"28/03/2025 09:00")</f>
        <v>28/03/2025 09:00</v>
      </c>
      <c r="L523" s="360" t="str">
        <f ca="1">IFERROR(__xludf.DUMMYFUNCTION("""COMPUTED_VALUE"""),"28/03/2025  09:20")</f>
        <v>28/03/2025  09:20</v>
      </c>
      <c r="M523" s="360" t="str">
        <f ca="1">IFERROR(__xludf.DUMMYFUNCTION("""COMPUTED_VALUE"""),"31/03/2025 MORNING")</f>
        <v>31/03/2025 MORNING</v>
      </c>
    </row>
    <row r="524" spans="1:13" ht="18.75">
      <c r="A524" s="360" t="str">
        <f ca="1">IFERROR(__xludf.DUMMYFUNCTION("""COMPUTED_VALUE"""),"CHT")</f>
        <v>CHT</v>
      </c>
      <c r="B524" s="360" t="str">
        <f ca="1">IFERROR(__xludf.DUMMYFUNCTION("""COMPUTED_VALUE"""),"SAWASDEE RIGEL V.2503N")</f>
        <v>SAWASDEE RIGEL V.2503N</v>
      </c>
      <c r="C524" s="361" t="str">
        <f ca="1">IFERROR(__xludf.DUMMYFUNCTION("""COMPUTED_VALUE"""),"THBKK")</f>
        <v>THBKK</v>
      </c>
      <c r="D524" s="366">
        <f ca="1">IFERROR(__xludf.DUMMYFUNCTION("""COMPUTED_VALUE"""),45994.75)</f>
        <v>45994.75</v>
      </c>
      <c r="E524" s="360" t="str">
        <f ca="1">IFERROR(__xludf.DUMMYFUNCTION("""COMPUTED_VALUE"""),"33.88  19/03/2025")</f>
        <v>33.88  19/03/2025</v>
      </c>
      <c r="F524" s="360" t="str">
        <f ca="1">IFERROR(__xludf.DUMMYFUNCTION("""COMPUTED_VALUE"""),"24/03/2025 13:00")</f>
        <v>24/03/2025 13:00</v>
      </c>
      <c r="G524" s="360" t="str">
        <f ca="1">IFERROR(__xludf.DUMMYFUNCTION("""COMPUTED_VALUE"""),"25/03/2025 15:00")</f>
        <v>25/03/2025 15:00</v>
      </c>
      <c r="H524" s="360" t="str">
        <f ca="1">IFERROR(__xludf.DUMMYFUNCTION("""COMPUTED_VALUE"""),"25/03/2025 13:00")</f>
        <v>25/03/2025 13:00</v>
      </c>
      <c r="I524" s="362" t="str">
        <f ca="1">IFERROR(__xludf.DUMMYFUNCTION("""COMPUTED_VALUE"""),"26/03/2025 15:00")</f>
        <v>26/03/2025 15:00</v>
      </c>
      <c r="J524" s="362" t="str">
        <f ca="1">IFERROR(__xludf.DUMMYFUNCTION("""COMPUTED_VALUE"""),"27/03/2025 16:00")</f>
        <v>27/03/2025 16:00</v>
      </c>
      <c r="K524" s="362" t="str">
        <f ca="1">IFERROR(__xludf.DUMMYFUNCTION("""COMPUTED_VALUE"""),"28/03/2025 13:00")</f>
        <v>28/03/2025 13:00</v>
      </c>
      <c r="L524" s="360" t="str">
        <f ca="1">IFERROR(__xludf.DUMMYFUNCTION("""COMPUTED_VALUE"""),"28/03/2025 13:00")</f>
        <v>28/03/2025 13:00</v>
      </c>
      <c r="M524" s="360" t="str">
        <f ca="1">IFERROR(__xludf.DUMMYFUNCTION("""COMPUTED_VALUE"""),"31/03/2025 MORNING")</f>
        <v>31/03/2025 MORNING</v>
      </c>
    </row>
    <row r="525" spans="1:13" ht="18.75">
      <c r="A525" s="360"/>
      <c r="B525" s="360"/>
      <c r="C525" s="361" t="str">
        <f ca="1">IFERROR(__xludf.DUMMYFUNCTION("""COMPUTED_VALUE"""),"THLCB")</f>
        <v>THLCB</v>
      </c>
      <c r="D525" s="360" t="str">
        <f ca="1">IFERROR(__xludf.DUMMYFUNCTION("""COMPUTED_VALUE"""),"13/03/2025 12:00")</f>
        <v>13/03/2025 12:00</v>
      </c>
      <c r="E525" s="360"/>
      <c r="F525" s="360" t="str">
        <f ca="1">IFERROR(__xludf.DUMMYFUNCTION("""COMPUTED_VALUE"""),"25/03/2025 13:00")</f>
        <v>25/03/2025 13:00</v>
      </c>
      <c r="G525" s="360" t="str">
        <f ca="1">IFERROR(__xludf.DUMMYFUNCTION("""COMPUTED_VALUE"""),"26/03/2025 15:00")</f>
        <v>26/03/2025 15:00</v>
      </c>
      <c r="H525" s="360" t="str">
        <f ca="1">IFERROR(__xludf.DUMMYFUNCTION("""COMPUTED_VALUE"""),"26/03/2025 13:00")</f>
        <v>26/03/2025 13:00</v>
      </c>
      <c r="I525" s="362" t="str">
        <f ca="1">IFERROR(__xludf.DUMMYFUNCTION("""COMPUTED_VALUE"""),"27/03/2025 15:00")</f>
        <v>27/03/2025 15:00</v>
      </c>
      <c r="J525" s="362" t="str">
        <f ca="1">IFERROR(__xludf.DUMMYFUNCTION("""COMPUTED_VALUE"""),"28/03/2025 16:00")</f>
        <v>28/03/2025 16:00</v>
      </c>
      <c r="K525" s="362" t="str">
        <f ca="1">IFERROR(__xludf.DUMMYFUNCTION("""COMPUTED_VALUE"""),"29/03/2025 11:30")</f>
        <v>29/03/2025 11:30</v>
      </c>
      <c r="L525" s="360" t="str">
        <f ca="1">IFERROR(__xludf.DUMMYFUNCTION("""COMPUTED_VALUE"""),"29/03/2025  12:00")</f>
        <v>29/03/2025  12:00</v>
      </c>
      <c r="M525" s="360" t="str">
        <f ca="1">IFERROR(__xludf.DUMMYFUNCTION("""COMPUTED_VALUE"""),"31/03/2025 MORNING")</f>
        <v>31/03/2025 MORNING</v>
      </c>
    </row>
    <row r="526" spans="1:13" ht="18.75">
      <c r="A526" s="360" t="str">
        <f ca="1">IFERROR(__xludf.DUMMYFUNCTION("""COMPUTED_VALUE"""),"CVT")</f>
        <v>CVT</v>
      </c>
      <c r="B526" s="360" t="str">
        <f ca="1">IFERROR(__xludf.DUMMYFUNCTION("""COMPUTED_VALUE"""),"TS QINGDAO 25004N")</f>
        <v>TS QINGDAO 25004N</v>
      </c>
      <c r="C526" s="361" t="str">
        <f ca="1">IFERROR(__xludf.DUMMYFUNCTION("""COMPUTED_VALUE"""),"THBKK")</f>
        <v>THBKK</v>
      </c>
      <c r="D526" s="360" t="str">
        <f ca="1">IFERROR(__xludf.DUMMYFUNCTION("""COMPUTED_VALUE"""),"20/03/2025 08:00")</f>
        <v>20/03/2025 08:00</v>
      </c>
      <c r="E526" s="360" t="str">
        <f ca="1">IFERROR(__xludf.DUMMYFUNCTION("""COMPUTED_VALUE"""),"33.88 14/03/2025")</f>
        <v>33.88 14/03/2025</v>
      </c>
      <c r="F526" s="360" t="str">
        <f ca="1">IFERROR(__xludf.DUMMYFUNCTION("""COMPUTED_VALUE"""),"19/03/2025 13:00")</f>
        <v>19/03/2025 13:00</v>
      </c>
      <c r="G526" s="360" t="str">
        <f ca="1">IFERROR(__xludf.DUMMYFUNCTION("""COMPUTED_VALUE"""),"20/03/2025 15:00")</f>
        <v>20/03/2025 15:00</v>
      </c>
      <c r="H526" s="360" t="str">
        <f ca="1">IFERROR(__xludf.DUMMYFUNCTION("""COMPUTED_VALUE"""),"21/03/2025 13:00")</f>
        <v>21/03/2025 13:00</v>
      </c>
      <c r="I526" s="362" t="str">
        <f ca="1">IFERROR(__xludf.DUMMYFUNCTION("""COMPUTED_VALUE"""),"22/03/2025 15:00")</f>
        <v>22/03/2025 15:00</v>
      </c>
      <c r="J526" s="362" t="str">
        <f ca="1">IFERROR(__xludf.DUMMYFUNCTION("""COMPUTED_VALUE"""),"24/03/2025 16:00")</f>
        <v>24/03/2025 16:00</v>
      </c>
      <c r="K526" s="362" t="str">
        <f ca="1">IFERROR(__xludf.DUMMYFUNCTION("""COMPUTED_VALUE"""),"24/03/2025 23:00")</f>
        <v>24/03/2025 23:00</v>
      </c>
      <c r="L526" s="360" t="str">
        <f ca="1">IFERROR(__xludf.DUMMYFUNCTION("""COMPUTED_VALUE"""),"24/03/2025  23:50")</f>
        <v>24/03/2025  23:50</v>
      </c>
      <c r="M526" s="360" t="str">
        <f ca="1">IFERROR(__xludf.DUMMYFUNCTION("""COMPUTED_VALUE"""),"25/03/2025 MORNING")</f>
        <v>25/03/2025 MORNING</v>
      </c>
    </row>
    <row r="527" spans="1:13" ht="18.75">
      <c r="A527" s="360"/>
      <c r="B527" s="360"/>
      <c r="C527" s="361" t="str">
        <f ca="1">IFERROR(__xludf.DUMMYFUNCTION("""COMPUTED_VALUE"""),"THLCB")</f>
        <v>THLCB</v>
      </c>
      <c r="D527" s="360" t="str">
        <f ca="1">IFERROR(__xludf.DUMMYFUNCTION("""COMPUTED_VALUE"""),"21/03/2025 04:00")</f>
        <v>21/03/2025 04:00</v>
      </c>
      <c r="E527" s="360"/>
      <c r="F527" s="360" t="str">
        <f ca="1">IFERROR(__xludf.DUMMYFUNCTION("""COMPUTED_VALUE"""),"19/03/2025 13:00")</f>
        <v>19/03/2025 13:00</v>
      </c>
      <c r="G527" s="360" t="str">
        <f ca="1">IFERROR(__xludf.DUMMYFUNCTION("""COMPUTED_VALUE"""),"20/03/2025 15:00")</f>
        <v>20/03/2025 15:00</v>
      </c>
      <c r="H527" s="360" t="str">
        <f ca="1">IFERROR(__xludf.DUMMYFUNCTION("""COMPUTED_VALUE"""),"21/03/2025 13:00")</f>
        <v>21/03/2025 13:00</v>
      </c>
      <c r="I527" s="362" t="str">
        <f ca="1">IFERROR(__xludf.DUMMYFUNCTION("""COMPUTED_VALUE"""),"22/03/2025 15:00")</f>
        <v>22/03/2025 15:00</v>
      </c>
      <c r="J527" s="362" t="str">
        <f ca="1">IFERROR(__xludf.DUMMYFUNCTION("""COMPUTED_VALUE"""),"24/03/2025 16:00")</f>
        <v>24/03/2025 16:00</v>
      </c>
      <c r="K527" s="362" t="str">
        <f ca="1">IFERROR(__xludf.DUMMYFUNCTION("""COMPUTED_VALUE"""),"25/03/2025 20:00")</f>
        <v>25/03/2025 20:00</v>
      </c>
      <c r="L527" s="360" t="str">
        <f ca="1">IFERROR(__xludf.DUMMYFUNCTION("""COMPUTED_VALUE"""),"25/03/2025  22:00")</f>
        <v>25/03/2025  22:00</v>
      </c>
      <c r="M527" s="360" t="str">
        <f ca="1">IFERROR(__xludf.DUMMYFUNCTION("""COMPUTED_VALUE"""),"26/03/2025 MORNING")</f>
        <v>26/03/2025 MORNING</v>
      </c>
    </row>
    <row r="528" spans="1:13" ht="18.75">
      <c r="A528" s="360"/>
      <c r="B528" s="360"/>
      <c r="C528" s="361"/>
      <c r="D528" s="360"/>
      <c r="E528" s="360"/>
      <c r="F528" s="360"/>
      <c r="G528" s="360"/>
      <c r="H528" s="360"/>
      <c r="I528" s="362"/>
      <c r="J528" s="362"/>
      <c r="K528" s="362"/>
      <c r="L528" s="360"/>
      <c r="M528" s="360"/>
    </row>
    <row r="529" spans="1:13" ht="18.75">
      <c r="A529" s="360"/>
      <c r="B529" s="360" t="str">
        <f ca="1">IFERROR(__xludf.DUMMYFUNCTION("""COMPUTED_VALUE"""),"WEEK 12/2025")</f>
        <v>WEEK 12/2025</v>
      </c>
      <c r="C529" s="361"/>
      <c r="D529" s="360"/>
      <c r="E529" s="360"/>
      <c r="F529" s="360"/>
      <c r="G529" s="360"/>
      <c r="H529" s="360"/>
      <c r="I529" s="362"/>
      <c r="J529" s="362"/>
      <c r="K529" s="362"/>
      <c r="L529" s="360"/>
      <c r="M529" s="360"/>
    </row>
    <row r="530" spans="1:13" ht="18.75">
      <c r="A530" s="360"/>
      <c r="B530" s="360"/>
      <c r="C530" s="361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530" s="360"/>
      <c r="E530" s="360"/>
      <c r="F530" s="360"/>
      <c r="G530" s="360"/>
      <c r="H530" s="360"/>
      <c r="I530" s="362"/>
      <c r="J530" s="362"/>
      <c r="K530" s="362"/>
      <c r="L530" s="360"/>
      <c r="M530" s="360"/>
    </row>
    <row r="531" spans="1:13" ht="18.75">
      <c r="A531" s="360" t="str">
        <f ca="1">IFERROR(__xludf.DUMMYFUNCTION("""COMPUTED_VALUE"""),"SERVICE")</f>
        <v>SERVICE</v>
      </c>
      <c r="B531" s="360" t="str">
        <f ca="1">IFERROR(__xludf.DUMMYFUNCTION("""COMPUTED_VALUE"""),"VESSEL NAME")</f>
        <v>VESSEL NAME</v>
      </c>
      <c r="C531" s="361" t="str">
        <f ca="1">IFERROR(__xludf.DUMMYFUNCTION("""COMPUTED_VALUE"""),"PORT")</f>
        <v>PORT</v>
      </c>
      <c r="D531" s="360" t="str">
        <f ca="1">IFERROR(__xludf.DUMMYFUNCTION("""COMPUTED_VALUE"""),"PERFOMA ETD")</f>
        <v>PERFOMA ETD</v>
      </c>
      <c r="E531" s="360" t="str">
        <f ca="1">IFERROR(__xludf.DUMMYFUNCTION("""COMPUTED_VALUE"""),"EX.RATE/DATE/")</f>
        <v>EX.RATE/DATE/</v>
      </c>
      <c r="F531" s="360" t="str">
        <f ca="1">IFERROR(__xludf.DUMMYFUNCTION("""COMPUTED_VALUE"""),"SI CUT OFF USA")</f>
        <v>SI CUT OFF USA</v>
      </c>
      <c r="G531" s="360" t="str">
        <f ca="1">IFERROR(__xludf.DUMMYFUNCTION("""COMPUTED_VALUE"""),"SI CUT OFF")</f>
        <v>SI CUT OFF</v>
      </c>
      <c r="H531" s="360" t="str">
        <f ca="1">IFERROR(__xludf.DUMMYFUNCTION("""COMPUTED_VALUE"""),"B/L CFM USA")</f>
        <v>B/L CFM USA</v>
      </c>
      <c r="I531" s="362" t="str">
        <f ca="1">IFERROR(__xludf.DUMMYFUNCTION("""COMPUTED_VALUE"""),"B/L CFM CHINA,JP,VN")</f>
        <v>B/L CFM CHINA,JP,VN</v>
      </c>
      <c r="J531" s="362" t="str">
        <f ca="1">IFERROR(__xludf.DUMMYFUNCTION("""COMPUTED_VALUE"""),"B/L CONFIRM")</f>
        <v>B/L CONFIRM</v>
      </c>
      <c r="K531" s="362" t="str">
        <f ca="1">IFERROR(__xludf.DUMMYFUNCTION("""COMPUTED_VALUE"""),"ETD")</f>
        <v>ETD</v>
      </c>
      <c r="L531" s="360" t="str">
        <f ca="1">IFERROR(__xludf.DUMMYFUNCTION("""COMPUTED_VALUE"""),"ATD")</f>
        <v>ATD</v>
      </c>
      <c r="M531" s="360" t="str">
        <f ca="1">IFERROR(__xludf.DUMMYFUNCTION("""COMPUTED_VALUE"""),"B/L ISSUED DATE")</f>
        <v>B/L ISSUED DATE</v>
      </c>
    </row>
    <row r="532" spans="1:13" ht="18.75">
      <c r="A532" s="360"/>
      <c r="B532" s="360"/>
      <c r="C532" s="361"/>
      <c r="D532" s="360"/>
      <c r="E532" s="360" t="str">
        <f ca="1">IFERROR(__xludf.DUMMYFUNCTION("""COMPUTED_VALUE"""),"BANGKOK BANK")</f>
        <v>BANGKOK BANK</v>
      </c>
      <c r="F532" s="360" t="str">
        <f ca="1">IFERROR(__xludf.DUMMYFUNCTION("""COMPUTED_VALUE"""),"4 days before ETD")</f>
        <v>4 days before ETD</v>
      </c>
      <c r="G532" s="360"/>
      <c r="H532" s="360" t="str">
        <f ca="1">IFERROR(__xludf.DUMMYFUNCTION("""COMPUTED_VALUE"""),"3 days before ETD")</f>
        <v>3 days before ETD</v>
      </c>
      <c r="I532" s="362" t="str">
        <f ca="1">IFERROR(__xludf.DUMMYFUNCTION("""COMPUTED_VALUE"""),"Direct port CUT OFF")</f>
        <v>Direct port CUT OFF</v>
      </c>
      <c r="J532" s="362" t="str">
        <f ca="1">IFERROR(__xludf.DUMMYFUNCTION("""COMPUTED_VALUE"""),"Orther port CUT OFF")</f>
        <v>Orther port CUT OFF</v>
      </c>
      <c r="K532" s="362" t="str">
        <f ca="1">IFERROR(__xludf.DUMMYFUNCTION("""COMPUTED_VALUE"""),"ON BOARD DATE")</f>
        <v>ON BOARD DATE</v>
      </c>
      <c r="L532" s="360" t="str">
        <f ca="1">IFERROR(__xludf.DUMMYFUNCTION("""COMPUTED_VALUE"""),"วันเรือออกจริง")</f>
        <v>วันเรือออกจริง</v>
      </c>
      <c r="M532" s="360" t="str">
        <f ca="1">IFERROR(__xludf.DUMMYFUNCTION("""COMPUTED_VALUE"""),"วันปล่อยบีแอล")</f>
        <v>วันปล่อยบีแอล</v>
      </c>
    </row>
    <row r="533" spans="1:13" ht="18.75">
      <c r="A533" s="360"/>
      <c r="B533" s="360"/>
      <c r="C533" s="361"/>
      <c r="D533" s="360"/>
      <c r="E533" s="360"/>
      <c r="F533" s="360"/>
      <c r="G533" s="360" t="str">
        <f ca="1">IFERROR(__xludf.DUMMYFUNCTION("""COMPUTED_VALUE"""),"3 days before ETD")</f>
        <v>3 days before ETD</v>
      </c>
      <c r="H533" s="360"/>
      <c r="I533" s="362" t="str">
        <f ca="1">IFERROR(__xludf.DUMMYFUNCTION("""COMPUTED_VALUE"""),"2 days before ETD")</f>
        <v>2 days before ETD</v>
      </c>
      <c r="J533" s="362" t="str">
        <f ca="1">IFERROR(__xludf.DUMMYFUNCTION("""COMPUTED_VALUE"""),"1 days before ETD")</f>
        <v>1 days before ETD</v>
      </c>
      <c r="K533" s="362" t="str">
        <f ca="1">IFERROR(__xludf.DUMMYFUNCTION("""COMPUTED_VALUE"""),"SHOW ON B/L")</f>
        <v>SHOW ON B/L</v>
      </c>
      <c r="L533" s="360"/>
      <c r="M533" s="360"/>
    </row>
    <row r="534" spans="1:13" ht="18.75">
      <c r="A534" s="360" t="str">
        <f ca="1">IFERROR(__xludf.DUMMYFUNCTION("""COMPUTED_VALUE"""),"JHTS")</f>
        <v>JHTS</v>
      </c>
      <c r="B534" s="360" t="str">
        <f ca="1">IFERROR(__xludf.DUMMYFUNCTION("""COMPUTED_VALUE"""),"TS KOBE V.25004N")</f>
        <v>TS KOBE V.25004N</v>
      </c>
      <c r="C534" s="361" t="str">
        <f ca="1">IFERROR(__xludf.DUMMYFUNCTION("""COMPUTED_VALUE"""),"THBKK")</f>
        <v>THBKK</v>
      </c>
      <c r="D534" s="360" t="str">
        <f ca="1">IFERROR(__xludf.DUMMYFUNCTION("""COMPUTED_VALUE"""),"16/03/2025 06:00")</f>
        <v>16/03/2025 06:00</v>
      </c>
      <c r="E534" s="360" t="str">
        <f ca="1">IFERROR(__xludf.DUMMYFUNCTION("""COMPUTED_VALUE"""),"33.90 07/03/2025")</f>
        <v>33.90 07/03/2025</v>
      </c>
      <c r="F534" s="366">
        <f ca="1">IFERROR(__xludf.DUMMYFUNCTION("""COMPUTED_VALUE"""),45994.5416666666)</f>
        <v>45994.541666666599</v>
      </c>
      <c r="G534" s="360" t="str">
        <f ca="1">IFERROR(__xludf.DUMMYFUNCTION("""COMPUTED_VALUE"""),"13/03/2025 15:00")</f>
        <v>13/03/2025 15:00</v>
      </c>
      <c r="H534" s="360" t="str">
        <f ca="1">IFERROR(__xludf.DUMMYFUNCTION("""COMPUTED_VALUE"""),"13/03/2025 13:00")</f>
        <v>13/03/2025 13:00</v>
      </c>
      <c r="I534" s="362" t="str">
        <f ca="1">IFERROR(__xludf.DUMMYFUNCTION("""COMPUTED_VALUE"""),"14/03/2025 15:00")</f>
        <v>14/03/2025 15:00</v>
      </c>
      <c r="J534" s="362" t="str">
        <f ca="1">IFERROR(__xludf.DUMMYFUNCTION("""COMPUTED_VALUE"""),"14/03/2025 16:00")</f>
        <v>14/03/2025 16:00</v>
      </c>
      <c r="K534" s="362" t="str">
        <f ca="1">IFERROR(__xludf.DUMMYFUNCTION("""COMPUTED_VALUE"""),"15/03/2025 16:00")</f>
        <v>15/03/2025 16:00</v>
      </c>
      <c r="L534" s="360" t="str">
        <f ca="1">IFERROR(__xludf.DUMMYFUNCTION("""COMPUTED_VALUE"""),"15/03/2025  15:00")</f>
        <v>15/03/2025  15:00</v>
      </c>
      <c r="M534" s="360" t="str">
        <f ca="1">IFERROR(__xludf.DUMMYFUNCTION("""COMPUTED_VALUE"""),"17/03/2025 MORNING")</f>
        <v>17/03/2025 MORNING</v>
      </c>
    </row>
    <row r="535" spans="1:13" ht="18.75">
      <c r="A535" s="360"/>
      <c r="B535" s="360"/>
      <c r="C535" s="361" t="str">
        <f ca="1">IFERROR(__xludf.DUMMYFUNCTION("""COMPUTED_VALUE"""),"THLCB")</f>
        <v>THLCB</v>
      </c>
      <c r="D535" s="360" t="str">
        <f ca="1">IFERROR(__xludf.DUMMYFUNCTION("""COMPUTED_VALUE"""),"17/03/2025 06:00")</f>
        <v>17/03/2025 06:00</v>
      </c>
      <c r="E535" s="360"/>
      <c r="F535" s="360" t="str">
        <f ca="1">IFERROR(__xludf.DUMMYFUNCTION("""COMPUTED_VALUE"""),"13/03/2025 13:00")</f>
        <v>13/03/2025 13:00</v>
      </c>
      <c r="G535" s="360" t="str">
        <f ca="1">IFERROR(__xludf.DUMMYFUNCTION("""COMPUTED_VALUE"""),"14/03/2025 15:00")</f>
        <v>14/03/2025 15:00</v>
      </c>
      <c r="H535" s="360" t="str">
        <f ca="1">IFERROR(__xludf.DUMMYFUNCTION("""COMPUTED_VALUE"""),"14/03/2025 13:00")</f>
        <v>14/03/2025 13:00</v>
      </c>
      <c r="I535" s="362" t="str">
        <f ca="1">IFERROR(__xludf.DUMMYFUNCTION("""COMPUTED_VALUE"""),"14/03/2025 15:00")</f>
        <v>14/03/2025 15:00</v>
      </c>
      <c r="J535" s="362" t="str">
        <f ca="1">IFERROR(__xludf.DUMMYFUNCTION("""COMPUTED_VALUE"""),"14/03/2025 16:00")</f>
        <v>14/03/2025 16:00</v>
      </c>
      <c r="K535" s="362" t="str">
        <f ca="1">IFERROR(__xludf.DUMMYFUNCTION("""COMPUTED_VALUE"""),"16/03/2025 10:00")</f>
        <v>16/03/2025 10:00</v>
      </c>
      <c r="L535" s="360" t="str">
        <f ca="1">IFERROR(__xludf.DUMMYFUNCTION("""COMPUTED_VALUE"""),"16/03/2025  17:00")</f>
        <v>16/03/2025  17:00</v>
      </c>
      <c r="M535" s="360" t="str">
        <f ca="1">IFERROR(__xludf.DUMMYFUNCTION("""COMPUTED_VALUE"""),"17/03/2025 MORNING")</f>
        <v>17/03/2025 MORNING</v>
      </c>
    </row>
    <row r="536" spans="1:13" ht="18.75">
      <c r="A536" s="360" t="str">
        <f ca="1">IFERROR(__xludf.DUMMYFUNCTION("""COMPUTED_VALUE"""),"TRX")</f>
        <v>TRX</v>
      </c>
      <c r="B536" s="360" t="str">
        <f ca="1">IFERROR(__xludf.DUMMYFUNCTION("""COMPUTED_VALUE"""),"GREEN EARTH V.008N")</f>
        <v>GREEN EARTH V.008N</v>
      </c>
      <c r="C536" s="361" t="str">
        <f ca="1">IFERROR(__xludf.DUMMYFUNCTION("""COMPUTED_VALUE"""),"THBKK")</f>
        <v>THBKK</v>
      </c>
      <c r="D536" s="360" t="str">
        <f ca="1">IFERROR(__xludf.DUMMYFUNCTION("""COMPUTED_VALUE"""),"18/03/2025 19:30")</f>
        <v>18/03/2025 19:30</v>
      </c>
      <c r="E536" s="360" t="str">
        <f ca="1">IFERROR(__xludf.DUMMYFUNCTION("""COMPUTED_VALUE"""),"34.08 11/03/2025")</f>
        <v>34.08 11/03/2025</v>
      </c>
      <c r="F536" s="360" t="str">
        <f ca="1">IFERROR(__xludf.DUMMYFUNCTION("""COMPUTED_VALUE"""),"14/03/2025 13:00")</f>
        <v>14/03/2025 13:00</v>
      </c>
      <c r="G536" s="360" t="str">
        <f ca="1">IFERROR(__xludf.DUMMYFUNCTION("""COMPUTED_VALUE"""),"17/03/2025 15:00")</f>
        <v>17/03/2025 15:00</v>
      </c>
      <c r="H536" s="360" t="str">
        <f ca="1">IFERROR(__xludf.DUMMYFUNCTION("""COMPUTED_VALUE"""),"17/03/2025 13:00")</f>
        <v>17/03/2025 13:00</v>
      </c>
      <c r="I536" s="362" t="str">
        <f ca="1">IFERROR(__xludf.DUMMYFUNCTION("""COMPUTED_VALUE"""),"18/03/2025 15:00")</f>
        <v>18/03/2025 15:00</v>
      </c>
      <c r="J536" s="362" t="str">
        <f ca="1">IFERROR(__xludf.DUMMYFUNCTION("""COMPUTED_VALUE"""),"19/03/2025 16:00")</f>
        <v>19/03/2025 16:00</v>
      </c>
      <c r="K536" s="362" t="str">
        <f ca="1">IFERROR(__xludf.DUMMYFUNCTION("""COMPUTED_VALUE"""),"20/03/2025 09:00")</f>
        <v>20/03/2025 09:00</v>
      </c>
      <c r="L536" s="360" t="str">
        <f ca="1">IFERROR(__xludf.DUMMYFUNCTION("""COMPUTED_VALUE"""),"20/03/2025  05:00")</f>
        <v>20/03/2025  05:00</v>
      </c>
      <c r="M536" s="360" t="str">
        <f ca="1">IFERROR(__xludf.DUMMYFUNCTION("""COMPUTED_VALUE"""),"20/03/2025 NOON")</f>
        <v>20/03/2025 NOON</v>
      </c>
    </row>
    <row r="537" spans="1:13" ht="18.75">
      <c r="A537" s="360"/>
      <c r="B537" s="360"/>
      <c r="C537" s="361" t="str">
        <f ca="1">IFERROR(__xludf.DUMMYFUNCTION("""COMPUTED_VALUE"""),"THLCB")</f>
        <v>THLCB</v>
      </c>
      <c r="D537" s="360" t="str">
        <f ca="1">IFERROR(__xludf.DUMMYFUNCTION("""COMPUTED_VALUE"""),"20/03/2025 09:00")</f>
        <v>20/03/2025 09:00</v>
      </c>
      <c r="E537" s="360"/>
      <c r="F537" s="360" t="str">
        <f ca="1">IFERROR(__xludf.DUMMYFUNCTION("""COMPUTED_VALUE"""),"17/03/2025 13:00")</f>
        <v>17/03/2025 13:00</v>
      </c>
      <c r="G537" s="360" t="str">
        <f ca="1">IFERROR(__xludf.DUMMYFUNCTION("""COMPUTED_VALUE"""),"17/03/2025 15:00")</f>
        <v>17/03/2025 15:00</v>
      </c>
      <c r="H537" s="360" t="str">
        <f ca="1">IFERROR(__xludf.DUMMYFUNCTION("""COMPUTED_VALUE"""),"18/03/2025 13:00")</f>
        <v>18/03/2025 13:00</v>
      </c>
      <c r="I537" s="362" t="str">
        <f ca="1">IFERROR(__xludf.DUMMYFUNCTION("""COMPUTED_VALUE"""),"19/03/2025 15:00")</f>
        <v>19/03/2025 15:00</v>
      </c>
      <c r="J537" s="362" t="str">
        <f ca="1">IFERROR(__xludf.DUMMYFUNCTION("""COMPUTED_VALUE"""),"20/03/2025 16:00")</f>
        <v>20/03/2025 16:00</v>
      </c>
      <c r="K537" s="362" t="str">
        <f ca="1">IFERROR(__xludf.DUMMYFUNCTION("""COMPUTED_VALUE"""),"21/03/2025 09:00")</f>
        <v>21/03/2025 09:00</v>
      </c>
      <c r="L537" s="360" t="str">
        <f ca="1">IFERROR(__xludf.DUMMYFUNCTION("""COMPUTED_VALUE"""),"21/03/2025  05:30")</f>
        <v>21/03/2025  05:30</v>
      </c>
      <c r="M537" s="360" t="str">
        <f ca="1">IFERROR(__xludf.DUMMYFUNCTION("""COMPUTED_VALUE"""),"21/03/2025 NOON")</f>
        <v>21/03/2025 NOON</v>
      </c>
    </row>
    <row r="538" spans="1:13" ht="18.75">
      <c r="A538" s="360" t="str">
        <f ca="1">IFERROR(__xludf.DUMMYFUNCTION("""COMPUTED_VALUE"""),"CVT")</f>
        <v>CVT</v>
      </c>
      <c r="B538" s="360" t="str">
        <f ca="1">IFERROR(__xludf.DUMMYFUNCTION("""COMPUTED_VALUE"""),"KMTC TAIPEIS V.2503N")</f>
        <v>KMTC TAIPEIS V.2503N</v>
      </c>
      <c r="C538" s="361" t="str">
        <f ca="1">IFERROR(__xludf.DUMMYFUNCTION("""COMPUTED_VALUE"""),"THBKK")</f>
        <v>THBKK</v>
      </c>
      <c r="D538" s="360" t="str">
        <f ca="1">IFERROR(__xludf.DUMMYFUNCTION("""COMPUTED_VALUE"""),"13/03/2025 08:00")</f>
        <v>13/03/2025 08:00</v>
      </c>
      <c r="E538" s="360" t="str">
        <f ca="1">IFERROR(__xludf.DUMMYFUNCTION("""COMPUTED_VALUE"""),"34.04 10/03/2025")</f>
        <v>34.04 10/03/2025</v>
      </c>
      <c r="F538" s="360" t="str">
        <f ca="1">IFERROR(__xludf.DUMMYFUNCTION("""COMPUTED_VALUE"""),"13/03/2025 13:00")</f>
        <v>13/03/2025 13:00</v>
      </c>
      <c r="G538" s="360" t="str">
        <f ca="1">IFERROR(__xludf.DUMMYFUNCTION("""COMPUTED_VALUE"""),"14/03/2025 15:00")</f>
        <v>14/03/2025 15:00</v>
      </c>
      <c r="H538" s="360" t="str">
        <f ca="1">IFERROR(__xludf.DUMMYFUNCTION("""COMPUTED_VALUE"""),"14/03/2025 13:00")</f>
        <v>14/03/2025 13:00</v>
      </c>
      <c r="I538" s="362" t="str">
        <f ca="1">IFERROR(__xludf.DUMMYFUNCTION("""COMPUTED_VALUE"""),"17/03/2025 15:00")</f>
        <v>17/03/2025 15:00</v>
      </c>
      <c r="J538" s="362" t="str">
        <f ca="1">IFERROR(__xludf.DUMMYFUNCTION("""COMPUTED_VALUE"""),"18/03/2025 16:00")</f>
        <v>18/03/2025 16:00</v>
      </c>
      <c r="K538" s="362" t="str">
        <f ca="1">IFERROR(__xludf.DUMMYFUNCTION("""COMPUTED_VALUE"""),"19/03/2025 05:00")</f>
        <v>19/03/2025 05:00</v>
      </c>
      <c r="L538" s="360" t="str">
        <f ca="1">IFERROR(__xludf.DUMMYFUNCTION("""COMPUTED_VALUE"""),"19/03/2025  04:00")</f>
        <v>19/03/2025  04:00</v>
      </c>
      <c r="M538" s="360" t="str">
        <f ca="1">IFERROR(__xludf.DUMMYFUNCTION("""COMPUTED_VALUE"""),"19/03/2025 NOON")</f>
        <v>19/03/2025 NOON</v>
      </c>
    </row>
    <row r="539" spans="1:13" ht="18.75">
      <c r="A539" s="360"/>
      <c r="B539" s="360"/>
      <c r="C539" s="361" t="str">
        <f ca="1">IFERROR(__xludf.DUMMYFUNCTION("""COMPUTED_VALUE"""),"THLCB")</f>
        <v>THLCB</v>
      </c>
      <c r="D539" s="360" t="str">
        <f ca="1">IFERROR(__xludf.DUMMYFUNCTION("""COMPUTED_VALUE"""),"14/03/2025 04:00")</f>
        <v>14/03/2025 04:00</v>
      </c>
      <c r="E539" s="360"/>
      <c r="F539" s="360" t="str">
        <f ca="1">IFERROR(__xludf.DUMMYFUNCTION("""COMPUTED_VALUE"""),"14/03/2025 13:00")</f>
        <v>14/03/2025 13:00</v>
      </c>
      <c r="G539" s="360" t="str">
        <f ca="1">IFERROR(__xludf.DUMMYFUNCTION("""COMPUTED_VALUE"""),"17/03/2025 15:00")</f>
        <v>17/03/2025 15:00</v>
      </c>
      <c r="H539" s="360" t="str">
        <f ca="1">IFERROR(__xludf.DUMMYFUNCTION("""COMPUTED_VALUE"""),"17/03/2025 13:00")</f>
        <v>17/03/2025 13:00</v>
      </c>
      <c r="I539" s="362" t="str">
        <f ca="1">IFERROR(__xludf.DUMMYFUNCTION("""COMPUTED_VALUE"""),"18/03/2025 15:00")</f>
        <v>18/03/2025 15:00</v>
      </c>
      <c r="J539" s="362" t="str">
        <f ca="1">IFERROR(__xludf.DUMMYFUNCTION("""COMPUTED_VALUE"""),"19/03/2025 16:00")</f>
        <v>19/03/2025 16:00</v>
      </c>
      <c r="K539" s="362" t="str">
        <f ca="1">IFERROR(__xludf.DUMMYFUNCTION("""COMPUTED_VALUE"""),"20/03/2025 21:00")</f>
        <v>20/03/2025 21:00</v>
      </c>
      <c r="L539" s="360" t="str">
        <f ca="1">IFERROR(__xludf.DUMMYFUNCTION("""COMPUTED_VALUE"""),"20/03/2025  22:00")</f>
        <v>20/03/2025  22:00</v>
      </c>
      <c r="M539" s="360" t="str">
        <f ca="1">IFERROR(__xludf.DUMMYFUNCTION("""COMPUTED_VALUE"""),"21/03/2025 MORNING")</f>
        <v>21/03/2025 MORNING</v>
      </c>
    </row>
    <row r="540" spans="1:13" ht="18.75">
      <c r="A540" s="360"/>
      <c r="B540" s="360"/>
      <c r="C540" s="361"/>
      <c r="D540" s="360"/>
      <c r="E540" s="360"/>
      <c r="F540" s="360"/>
      <c r="G540" s="360"/>
      <c r="H540" s="360"/>
      <c r="I540" s="362"/>
      <c r="J540" s="362"/>
      <c r="K540" s="362"/>
      <c r="L540" s="360"/>
      <c r="M540" s="360"/>
    </row>
    <row r="541" spans="1:13" ht="18.75">
      <c r="A541" s="360"/>
      <c r="B541" s="360" t="str">
        <f ca="1">IFERROR(__xludf.DUMMYFUNCTION("""COMPUTED_VALUE"""),"WEEK 11/2025")</f>
        <v>WEEK 11/2025</v>
      </c>
      <c r="C541" s="361"/>
      <c r="D541" s="360"/>
      <c r="E541" s="360"/>
      <c r="F541" s="360"/>
      <c r="G541" s="360"/>
      <c r="H541" s="360"/>
      <c r="I541" s="362"/>
      <c r="J541" s="362"/>
      <c r="K541" s="362"/>
      <c r="L541" s="360"/>
      <c r="M541" s="360"/>
    </row>
    <row r="542" spans="1:13" ht="18.75">
      <c r="A542" s="360"/>
      <c r="B542" s="360"/>
      <c r="C542" s="361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542" s="360"/>
      <c r="E542" s="360"/>
      <c r="F542" s="360"/>
      <c r="G542" s="360"/>
      <c r="H542" s="360"/>
      <c r="I542" s="362"/>
      <c r="J542" s="362"/>
      <c r="K542" s="362"/>
      <c r="L542" s="360"/>
      <c r="M542" s="360"/>
    </row>
    <row r="543" spans="1:13" ht="18.75">
      <c r="A543" s="360" t="str">
        <f ca="1">IFERROR(__xludf.DUMMYFUNCTION("""COMPUTED_VALUE"""),"SERVICE")</f>
        <v>SERVICE</v>
      </c>
      <c r="B543" s="360" t="str">
        <f ca="1">IFERROR(__xludf.DUMMYFUNCTION("""COMPUTED_VALUE"""),"VESSEL NAME")</f>
        <v>VESSEL NAME</v>
      </c>
      <c r="C543" s="361" t="str">
        <f ca="1">IFERROR(__xludf.DUMMYFUNCTION("""COMPUTED_VALUE"""),"PORT")</f>
        <v>PORT</v>
      </c>
      <c r="D543" s="360" t="str">
        <f ca="1">IFERROR(__xludf.DUMMYFUNCTION("""COMPUTED_VALUE"""),"PERFOMA ETD")</f>
        <v>PERFOMA ETD</v>
      </c>
      <c r="E543" s="360" t="str">
        <f ca="1">IFERROR(__xludf.DUMMYFUNCTION("""COMPUTED_VALUE"""),"EX.RATE/DATE/")</f>
        <v>EX.RATE/DATE/</v>
      </c>
      <c r="F543" s="360" t="str">
        <f ca="1">IFERROR(__xludf.DUMMYFUNCTION("""COMPUTED_VALUE"""),"SI CUT OFF USA")</f>
        <v>SI CUT OFF USA</v>
      </c>
      <c r="G543" s="360" t="str">
        <f ca="1">IFERROR(__xludf.DUMMYFUNCTION("""COMPUTED_VALUE"""),"SI CUT OFF")</f>
        <v>SI CUT OFF</v>
      </c>
      <c r="H543" s="360" t="str">
        <f ca="1">IFERROR(__xludf.DUMMYFUNCTION("""COMPUTED_VALUE"""),"B/L CFM USA")</f>
        <v>B/L CFM USA</v>
      </c>
      <c r="I543" s="362" t="str">
        <f ca="1">IFERROR(__xludf.DUMMYFUNCTION("""COMPUTED_VALUE"""),"B/L CFM CHINA,JP,VN")</f>
        <v>B/L CFM CHINA,JP,VN</v>
      </c>
      <c r="J543" s="362" t="str">
        <f ca="1">IFERROR(__xludf.DUMMYFUNCTION("""COMPUTED_VALUE"""),"B/L CONFIRM")</f>
        <v>B/L CONFIRM</v>
      </c>
      <c r="K543" s="362" t="str">
        <f ca="1">IFERROR(__xludf.DUMMYFUNCTION("""COMPUTED_VALUE"""),"ETD")</f>
        <v>ETD</v>
      </c>
      <c r="L543" s="360" t="str">
        <f ca="1">IFERROR(__xludf.DUMMYFUNCTION("""COMPUTED_VALUE"""),"ATD")</f>
        <v>ATD</v>
      </c>
      <c r="M543" s="360" t="str">
        <f ca="1">IFERROR(__xludf.DUMMYFUNCTION("""COMPUTED_VALUE"""),"B/L ISSUED DATE")</f>
        <v>B/L ISSUED DATE</v>
      </c>
    </row>
    <row r="544" spans="1:13" ht="18.75">
      <c r="A544" s="360"/>
      <c r="B544" s="360"/>
      <c r="C544" s="361"/>
      <c r="D544" s="360"/>
      <c r="E544" s="360" t="str">
        <f ca="1">IFERROR(__xludf.DUMMYFUNCTION("""COMPUTED_VALUE"""),"BANGKOK BANK")</f>
        <v>BANGKOK BANK</v>
      </c>
      <c r="F544" s="360" t="str">
        <f ca="1">IFERROR(__xludf.DUMMYFUNCTION("""COMPUTED_VALUE"""),"4 days before ETD")</f>
        <v>4 days before ETD</v>
      </c>
      <c r="G544" s="360"/>
      <c r="H544" s="360" t="str">
        <f ca="1">IFERROR(__xludf.DUMMYFUNCTION("""COMPUTED_VALUE"""),"3 days before ETD")</f>
        <v>3 days before ETD</v>
      </c>
      <c r="I544" s="362" t="str">
        <f ca="1">IFERROR(__xludf.DUMMYFUNCTION("""COMPUTED_VALUE"""),"Direct port CUT OFF")</f>
        <v>Direct port CUT OFF</v>
      </c>
      <c r="J544" s="362" t="str">
        <f ca="1">IFERROR(__xludf.DUMMYFUNCTION("""COMPUTED_VALUE"""),"Orther port CUT OFF")</f>
        <v>Orther port CUT OFF</v>
      </c>
      <c r="K544" s="362" t="str">
        <f ca="1">IFERROR(__xludf.DUMMYFUNCTION("""COMPUTED_VALUE"""),"ON BOARD DATE")</f>
        <v>ON BOARD DATE</v>
      </c>
      <c r="L544" s="360" t="str">
        <f ca="1">IFERROR(__xludf.DUMMYFUNCTION("""COMPUTED_VALUE"""),"วันเรือออกจริง")</f>
        <v>วันเรือออกจริง</v>
      </c>
      <c r="M544" s="360" t="str">
        <f ca="1">IFERROR(__xludf.DUMMYFUNCTION("""COMPUTED_VALUE"""),"วันปล่อยบีแอล")</f>
        <v>วันปล่อยบีแอล</v>
      </c>
    </row>
    <row r="545" spans="1:13" ht="18.75">
      <c r="A545" s="360"/>
      <c r="B545" s="360"/>
      <c r="C545" s="361"/>
      <c r="D545" s="360"/>
      <c r="E545" s="360"/>
      <c r="F545" s="360"/>
      <c r="G545" s="360" t="str">
        <f ca="1">IFERROR(__xludf.DUMMYFUNCTION("""COMPUTED_VALUE"""),"3 days before ETD")</f>
        <v>3 days before ETD</v>
      </c>
      <c r="H545" s="360"/>
      <c r="I545" s="362" t="str">
        <f ca="1">IFERROR(__xludf.DUMMYFUNCTION("""COMPUTED_VALUE"""),"2 days before ETD")</f>
        <v>2 days before ETD</v>
      </c>
      <c r="J545" s="362" t="str">
        <f ca="1">IFERROR(__xludf.DUMMYFUNCTION("""COMPUTED_VALUE"""),"1 days before ETD")</f>
        <v>1 days before ETD</v>
      </c>
      <c r="K545" s="362" t="str">
        <f ca="1">IFERROR(__xludf.DUMMYFUNCTION("""COMPUTED_VALUE"""),"SHOW ON B/L")</f>
        <v>SHOW ON B/L</v>
      </c>
      <c r="L545" s="360"/>
      <c r="M545" s="360"/>
    </row>
    <row r="546" spans="1:13" ht="18.75">
      <c r="A546" s="360" t="str">
        <f ca="1">IFERROR(__xludf.DUMMYFUNCTION("""COMPUTED_VALUE"""),"TRX")</f>
        <v>TRX</v>
      </c>
      <c r="B546" s="360" t="str">
        <f ca="1">IFERROR(__xludf.DUMMYFUNCTION("""COMPUTED_VALUE"""),"TS NAGOYA V.25003N")</f>
        <v>TS NAGOYA V.25003N</v>
      </c>
      <c r="C546" s="361" t="str">
        <f ca="1">IFERROR(__xludf.DUMMYFUNCTION("""COMPUTED_VALUE"""),"THBKK")</f>
        <v>THBKK</v>
      </c>
      <c r="D546" s="366">
        <f ca="1">IFERROR(__xludf.DUMMYFUNCTION("""COMPUTED_VALUE"""),45964.8125)</f>
        <v>45964.8125</v>
      </c>
      <c r="E546" s="360" t="str">
        <f ca="1">IFERROR(__xludf.DUMMYFUNCTION("""COMPUTED_VALUE"""),"33.93 05/03/2025")</f>
        <v>33.93 05/03/2025</v>
      </c>
      <c r="F546" s="366">
        <f ca="1">IFERROR(__xludf.DUMMYFUNCTION("""COMPUTED_VALUE"""),45903.5416666666)</f>
        <v>45903.541666666599</v>
      </c>
      <c r="G546" s="366">
        <f ca="1">IFERROR(__xludf.DUMMYFUNCTION("""COMPUTED_VALUE"""),45933.625)</f>
        <v>45933.625</v>
      </c>
      <c r="H546" s="366">
        <f ca="1">IFERROR(__xludf.DUMMYFUNCTION("""COMPUTED_VALUE"""),45933.5416666666)</f>
        <v>45933.541666666599</v>
      </c>
      <c r="I546" s="369">
        <f ca="1">IFERROR(__xludf.DUMMYFUNCTION("""COMPUTED_VALUE"""),45964.625)</f>
        <v>45964.625</v>
      </c>
      <c r="J546" s="369">
        <f ca="1">IFERROR(__xludf.DUMMYFUNCTION("""COMPUTED_VALUE"""),45994.6666666666)</f>
        <v>45994.666666666599</v>
      </c>
      <c r="K546" s="362" t="str">
        <f ca="1">IFERROR(__xludf.DUMMYFUNCTION("""COMPUTED_VALUE"""),"13/03/2025 19:30")</f>
        <v>13/03/2025 19:30</v>
      </c>
      <c r="L546" s="360" t="str">
        <f ca="1">IFERROR(__xludf.DUMMYFUNCTION("""COMPUTED_VALUE"""),"13/03/2025  07:00")</f>
        <v>13/03/2025  07:00</v>
      </c>
      <c r="M546" s="360" t="str">
        <f ca="1">IFERROR(__xludf.DUMMYFUNCTION("""COMPUTED_VALUE"""),"13/03/2025 NOON")</f>
        <v>13/03/2025 NOON</v>
      </c>
    </row>
    <row r="547" spans="1:13" ht="18.75">
      <c r="A547" s="360"/>
      <c r="B547" s="360"/>
      <c r="C547" s="361" t="str">
        <f ca="1">IFERROR(__xludf.DUMMYFUNCTION("""COMPUTED_VALUE"""),"THLCB")</f>
        <v>THLCB</v>
      </c>
      <c r="D547" s="360" t="str">
        <f ca="1">IFERROR(__xludf.DUMMYFUNCTION("""COMPUTED_VALUE"""),"13/03/2025 09:00")</f>
        <v>13/03/2025 09:00</v>
      </c>
      <c r="E547" s="360"/>
      <c r="F547" s="366">
        <f ca="1">IFERROR(__xludf.DUMMYFUNCTION("""COMPUTED_VALUE"""),45933.5416666666)</f>
        <v>45933.541666666599</v>
      </c>
      <c r="G547" s="366">
        <f ca="1">IFERROR(__xludf.DUMMYFUNCTION("""COMPUTED_VALUE"""),45964.625)</f>
        <v>45964.625</v>
      </c>
      <c r="H547" s="366">
        <f ca="1">IFERROR(__xludf.DUMMYFUNCTION("""COMPUTED_VALUE"""),45964.5416666666)</f>
        <v>45964.541666666599</v>
      </c>
      <c r="I547" s="369">
        <f ca="1">IFERROR(__xludf.DUMMYFUNCTION("""COMPUTED_VALUE"""),45994.625)</f>
        <v>45994.625</v>
      </c>
      <c r="J547" s="362" t="str">
        <f ca="1">IFERROR(__xludf.DUMMYFUNCTION("""COMPUTED_VALUE"""),"13/03/2025 16:00")</f>
        <v>13/03/2025 16:00</v>
      </c>
      <c r="K547" s="362" t="str">
        <f ca="1">IFERROR(__xludf.DUMMYFUNCTION("""COMPUTED_VALUE"""),"14/03/2025 19:00")</f>
        <v>14/03/2025 19:00</v>
      </c>
      <c r="L547" s="360" t="str">
        <f ca="1">IFERROR(__xludf.DUMMYFUNCTION("""COMPUTED_VALUE"""),"14/03/2025  09:05")</f>
        <v>14/03/2025  09:05</v>
      </c>
      <c r="M547" s="360" t="str">
        <f ca="1">IFERROR(__xludf.DUMMYFUNCTION("""COMPUTED_VALUE"""),"14/03/2025 NOON")</f>
        <v>14/03/2025 NOON</v>
      </c>
    </row>
    <row r="548" spans="1:13" ht="18.75">
      <c r="A548" s="360" t="str">
        <f ca="1">IFERROR(__xludf.DUMMYFUNCTION("""COMPUTED_VALUE"""),"CHT")</f>
        <v>CHT</v>
      </c>
      <c r="B548" s="360" t="str">
        <f ca="1">IFERROR(__xludf.DUMMYFUNCTION("""COMPUTED_VALUE"""),"KMTC POHANG V.2502N")</f>
        <v>KMTC POHANG V.2502N</v>
      </c>
      <c r="C548" s="361" t="str">
        <f ca="1">IFERROR(__xludf.DUMMYFUNCTION("""COMPUTED_VALUE"""),"THBKK")</f>
        <v>THBKK</v>
      </c>
      <c r="D548" s="366">
        <f ca="1">IFERROR(__xludf.DUMMYFUNCTION("""COMPUTED_VALUE"""),45780.75)</f>
        <v>45780.75</v>
      </c>
      <c r="E548" s="360" t="str">
        <f ca="1">IFERROR(__xludf.DUMMYFUNCTION("""COMPUTED_VALUE"""),"34.38 28/02/2025")</f>
        <v>34.38 28/02/2025</v>
      </c>
      <c r="F548" s="366">
        <f ca="1">IFERROR(__xludf.DUMMYFUNCTION("""COMPUTED_VALUE"""),45750.5416666666)</f>
        <v>45750.541666666599</v>
      </c>
      <c r="G548" s="366">
        <f ca="1">IFERROR(__xludf.DUMMYFUNCTION("""COMPUTED_VALUE"""),45780.625)</f>
        <v>45780.625</v>
      </c>
      <c r="H548" s="366">
        <f ca="1">IFERROR(__xludf.DUMMYFUNCTION("""COMPUTED_VALUE"""),45811.5416666666)</f>
        <v>45811.541666666599</v>
      </c>
      <c r="I548" s="369">
        <f ca="1">IFERROR(__xludf.DUMMYFUNCTION("""COMPUTED_VALUE"""),45841.625)</f>
        <v>45841.625</v>
      </c>
      <c r="J548" s="369">
        <f ca="1">IFERROR(__xludf.DUMMYFUNCTION("""COMPUTED_VALUE"""),45872.6666666666)</f>
        <v>45872.666666666599</v>
      </c>
      <c r="K548" s="369">
        <f ca="1">IFERROR(__xludf.DUMMYFUNCTION("""COMPUTED_VALUE"""),45933.9791666666)</f>
        <v>45933.979166666599</v>
      </c>
      <c r="L548" s="373">
        <f ca="1">IFERROR(__xludf.DUMMYFUNCTION("""COMPUTED_VALUE"""),45964.0416666666)</f>
        <v>45964.041666666599</v>
      </c>
      <c r="M548" s="360" t="str">
        <f ca="1">IFERROR(__xludf.DUMMYFUNCTION("""COMPUTED_VALUE"""),"11/03/2025 NOON")</f>
        <v>11/03/2025 NOON</v>
      </c>
    </row>
    <row r="549" spans="1:13" ht="18.75">
      <c r="A549" s="360"/>
      <c r="B549" s="360"/>
      <c r="C549" s="361" t="str">
        <f ca="1">IFERROR(__xludf.DUMMYFUNCTION("""COMPUTED_VALUE"""),"THLCB")</f>
        <v>THLCB</v>
      </c>
      <c r="D549" s="366">
        <f ca="1">IFERROR(__xludf.DUMMYFUNCTION("""COMPUTED_VALUE"""),45811.5)</f>
        <v>45811.5</v>
      </c>
      <c r="E549" s="360"/>
      <c r="F549" s="366">
        <f ca="1">IFERROR(__xludf.DUMMYFUNCTION("""COMPUTED_VALUE"""),45841.5416666666)</f>
        <v>45841.541666666599</v>
      </c>
      <c r="G549" s="366">
        <f ca="1">IFERROR(__xludf.DUMMYFUNCTION("""COMPUTED_VALUE"""),45841.625)</f>
        <v>45841.625</v>
      </c>
      <c r="H549" s="366">
        <f ca="1">IFERROR(__xludf.DUMMYFUNCTION("""COMPUTED_VALUE"""),45841.5416666666)</f>
        <v>45841.541666666599</v>
      </c>
      <c r="I549" s="369">
        <f ca="1">IFERROR(__xludf.DUMMYFUNCTION("""COMPUTED_VALUE"""),45841.625)</f>
        <v>45841.625</v>
      </c>
      <c r="J549" s="369">
        <f ca="1">IFERROR(__xludf.DUMMYFUNCTION("""COMPUTED_VALUE"""),45933.6666666666)</f>
        <v>45933.666666666599</v>
      </c>
      <c r="K549" s="369">
        <f ca="1">IFERROR(__xludf.DUMMYFUNCTION("""COMPUTED_VALUE"""),45994.0416666666)</f>
        <v>45994.041666666599</v>
      </c>
      <c r="L549" s="373">
        <f ca="1">IFERROR(__xludf.DUMMYFUNCTION("""COMPUTED_VALUE"""),45994.1666666666)</f>
        <v>45994.166666666599</v>
      </c>
      <c r="M549" s="360" t="str">
        <f ca="1">IFERROR(__xludf.DUMMYFUNCTION("""COMPUTED_VALUE"""),"12/03/2025 NOON")</f>
        <v>12/03/2025 NOON</v>
      </c>
    </row>
    <row r="550" spans="1:13" ht="18.75">
      <c r="A550" s="360"/>
      <c r="B550" s="360"/>
      <c r="C550" s="361"/>
      <c r="D550" s="360"/>
      <c r="E550" s="360"/>
      <c r="F550" s="360"/>
      <c r="G550" s="360"/>
      <c r="H550" s="360"/>
      <c r="I550" s="362"/>
      <c r="J550" s="362"/>
      <c r="K550" s="362"/>
      <c r="L550" s="360"/>
      <c r="M550" s="360"/>
    </row>
    <row r="551" spans="1:13" ht="18.75">
      <c r="A551" s="360"/>
      <c r="B551" s="360" t="str">
        <f ca="1">IFERROR(__xludf.DUMMYFUNCTION("""COMPUTED_VALUE"""),"WEEK 10/2025")</f>
        <v>WEEK 10/2025</v>
      </c>
      <c r="C551" s="361"/>
      <c r="D551" s="360"/>
      <c r="E551" s="360"/>
      <c r="F551" s="360"/>
      <c r="G551" s="360"/>
      <c r="H551" s="360"/>
      <c r="I551" s="362"/>
      <c r="J551" s="362"/>
      <c r="K551" s="362"/>
      <c r="L551" s="360"/>
      <c r="M551" s="360"/>
    </row>
    <row r="552" spans="1:13" ht="18.75">
      <c r="A552" s="360"/>
      <c r="B552" s="360"/>
      <c r="C552" s="361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552" s="360"/>
      <c r="E552" s="360"/>
      <c r="F552" s="360"/>
      <c r="G552" s="360"/>
      <c r="H552" s="360"/>
      <c r="I552" s="362"/>
      <c r="J552" s="362"/>
      <c r="K552" s="362"/>
      <c r="L552" s="360"/>
      <c r="M552" s="360"/>
    </row>
    <row r="553" spans="1:13" ht="18.75">
      <c r="A553" s="360" t="str">
        <f ca="1">IFERROR(__xludf.DUMMYFUNCTION("""COMPUTED_VALUE"""),"SERVICE")</f>
        <v>SERVICE</v>
      </c>
      <c r="B553" s="360" t="str">
        <f ca="1">IFERROR(__xludf.DUMMYFUNCTION("""COMPUTED_VALUE"""),"VESSEL NAME")</f>
        <v>VESSEL NAME</v>
      </c>
      <c r="C553" s="361" t="str">
        <f ca="1">IFERROR(__xludf.DUMMYFUNCTION("""COMPUTED_VALUE"""),"PORT")</f>
        <v>PORT</v>
      </c>
      <c r="D553" s="360" t="str">
        <f ca="1">IFERROR(__xludf.DUMMYFUNCTION("""COMPUTED_VALUE"""),"PERFOMA ETD")</f>
        <v>PERFOMA ETD</v>
      </c>
      <c r="E553" s="360" t="str">
        <f ca="1">IFERROR(__xludf.DUMMYFUNCTION("""COMPUTED_VALUE"""),"EX.RATE/DATE/")</f>
        <v>EX.RATE/DATE/</v>
      </c>
      <c r="F553" s="360" t="str">
        <f ca="1">IFERROR(__xludf.DUMMYFUNCTION("""COMPUTED_VALUE"""),"SI CUT OFF USA")</f>
        <v>SI CUT OFF USA</v>
      </c>
      <c r="G553" s="360" t="str">
        <f ca="1">IFERROR(__xludf.DUMMYFUNCTION("""COMPUTED_VALUE"""),"SI CUT OFF")</f>
        <v>SI CUT OFF</v>
      </c>
      <c r="H553" s="360" t="str">
        <f ca="1">IFERROR(__xludf.DUMMYFUNCTION("""COMPUTED_VALUE"""),"B/L CFM USA")</f>
        <v>B/L CFM USA</v>
      </c>
      <c r="I553" s="362" t="str">
        <f ca="1">IFERROR(__xludf.DUMMYFUNCTION("""COMPUTED_VALUE"""),"B/L CFM CHINA,JP,VN")</f>
        <v>B/L CFM CHINA,JP,VN</v>
      </c>
      <c r="J553" s="362" t="str">
        <f ca="1">IFERROR(__xludf.DUMMYFUNCTION("""COMPUTED_VALUE"""),"B/L CONFIRM")</f>
        <v>B/L CONFIRM</v>
      </c>
      <c r="K553" s="362" t="str">
        <f ca="1">IFERROR(__xludf.DUMMYFUNCTION("""COMPUTED_VALUE"""),"ETD")</f>
        <v>ETD</v>
      </c>
      <c r="L553" s="360" t="str">
        <f ca="1">IFERROR(__xludf.DUMMYFUNCTION("""COMPUTED_VALUE"""),"ATD")</f>
        <v>ATD</v>
      </c>
      <c r="M553" s="360" t="str">
        <f ca="1">IFERROR(__xludf.DUMMYFUNCTION("""COMPUTED_VALUE"""),"B/L ISSUED DATE")</f>
        <v>B/L ISSUED DATE</v>
      </c>
    </row>
    <row r="554" spans="1:13" ht="18.75">
      <c r="A554" s="360"/>
      <c r="B554" s="360"/>
      <c r="C554" s="361"/>
      <c r="D554" s="360"/>
      <c r="E554" s="360" t="str">
        <f ca="1">IFERROR(__xludf.DUMMYFUNCTION("""COMPUTED_VALUE"""),"BANGKOK BANK")</f>
        <v>BANGKOK BANK</v>
      </c>
      <c r="F554" s="360" t="str">
        <f ca="1">IFERROR(__xludf.DUMMYFUNCTION("""COMPUTED_VALUE"""),"4 days before ETD")</f>
        <v>4 days before ETD</v>
      </c>
      <c r="G554" s="360"/>
      <c r="H554" s="360" t="str">
        <f ca="1">IFERROR(__xludf.DUMMYFUNCTION("""COMPUTED_VALUE"""),"3 days before ETD")</f>
        <v>3 days before ETD</v>
      </c>
      <c r="I554" s="362" t="str">
        <f ca="1">IFERROR(__xludf.DUMMYFUNCTION("""COMPUTED_VALUE"""),"Direct port CUT OFF")</f>
        <v>Direct port CUT OFF</v>
      </c>
      <c r="J554" s="362" t="str">
        <f ca="1">IFERROR(__xludf.DUMMYFUNCTION("""COMPUTED_VALUE"""),"Orther port CUT OFF")</f>
        <v>Orther port CUT OFF</v>
      </c>
      <c r="K554" s="362" t="str">
        <f ca="1">IFERROR(__xludf.DUMMYFUNCTION("""COMPUTED_VALUE"""),"ON BOARD DATE")</f>
        <v>ON BOARD DATE</v>
      </c>
      <c r="L554" s="360" t="str">
        <f ca="1">IFERROR(__xludf.DUMMYFUNCTION("""COMPUTED_VALUE"""),"วันเรือออกจริง")</f>
        <v>วันเรือออกจริง</v>
      </c>
      <c r="M554" s="360" t="str">
        <f ca="1">IFERROR(__xludf.DUMMYFUNCTION("""COMPUTED_VALUE"""),"วันปล่อยบีแอล")</f>
        <v>วันปล่อยบีแอล</v>
      </c>
    </row>
    <row r="555" spans="1:13" ht="18.75">
      <c r="A555" s="360"/>
      <c r="B555" s="360"/>
      <c r="C555" s="361"/>
      <c r="D555" s="360"/>
      <c r="E555" s="360"/>
      <c r="F555" s="360"/>
      <c r="G555" s="360" t="str">
        <f ca="1">IFERROR(__xludf.DUMMYFUNCTION("""COMPUTED_VALUE"""),"3 days before ETD")</f>
        <v>3 days before ETD</v>
      </c>
      <c r="H555" s="360"/>
      <c r="I555" s="362" t="str">
        <f ca="1">IFERROR(__xludf.DUMMYFUNCTION("""COMPUTED_VALUE"""),"2 days before ETD")</f>
        <v>2 days before ETD</v>
      </c>
      <c r="J555" s="362" t="str">
        <f ca="1">IFERROR(__xludf.DUMMYFUNCTION("""COMPUTED_VALUE"""),"1 days before ETD")</f>
        <v>1 days before ETD</v>
      </c>
      <c r="K555" s="362" t="str">
        <f ca="1">IFERROR(__xludf.DUMMYFUNCTION("""COMPUTED_VALUE"""),"SHOW ON B/L")</f>
        <v>SHOW ON B/L</v>
      </c>
      <c r="L555" s="360"/>
      <c r="M555" s="360"/>
    </row>
    <row r="556" spans="1:13" ht="18.75">
      <c r="A556" s="360" t="str">
        <f ca="1">IFERROR(__xludf.DUMMYFUNCTION("""COMPUTED_VALUE"""),"JHTS")</f>
        <v>JHTS</v>
      </c>
      <c r="B556" s="360" t="str">
        <f ca="1">IFERROR(__xludf.DUMMYFUNCTION("""COMPUTED_VALUE"""),"TS KOBE V.25003N")</f>
        <v>TS KOBE V.25003N</v>
      </c>
      <c r="C556" s="361" t="str">
        <f ca="1">IFERROR(__xludf.DUMMYFUNCTION("""COMPUTED_VALUE"""),"THBKK")</f>
        <v>THBKK</v>
      </c>
      <c r="D556" s="366">
        <f ca="1">IFERROR(__xludf.DUMMYFUNCTION("""COMPUTED_VALUE"""),45691.25)</f>
        <v>45691.25</v>
      </c>
      <c r="E556" s="360" t="str">
        <f ca="1">IFERROR(__xludf.DUMMYFUNCTION("""COMPUTED_VALUE"""),"33.85 21/02/2025")</f>
        <v>33.85 21/02/2025</v>
      </c>
      <c r="F556" s="360" t="str">
        <f ca="1">IFERROR(__xludf.DUMMYFUNCTION("""COMPUTED_VALUE"""),"26/02/2025 13:00")</f>
        <v>26/02/2025 13:00</v>
      </c>
      <c r="G556" s="360" t="str">
        <f ca="1">IFERROR(__xludf.DUMMYFUNCTION("""COMPUTED_VALUE"""),"27/02/2025 15:00")</f>
        <v>27/02/2025 15:00</v>
      </c>
      <c r="H556" s="360" t="str">
        <f ca="1">IFERROR(__xludf.DUMMYFUNCTION("""COMPUTED_VALUE"""),"27/02/2025 13:00")</f>
        <v>27/02/2025 13:00</v>
      </c>
      <c r="I556" s="362" t="str">
        <f ca="1">IFERROR(__xludf.DUMMYFUNCTION("""COMPUTED_VALUE"""),"27/02/2025 15:00")</f>
        <v>27/02/2025 15:00</v>
      </c>
      <c r="J556" s="362" t="str">
        <f ca="1">IFERROR(__xludf.DUMMYFUNCTION("""COMPUTED_VALUE"""),"28/02/2025 16:00")</f>
        <v>28/02/2025 16:00</v>
      </c>
      <c r="K556" s="370">
        <f ca="1">IFERROR(__xludf.DUMMYFUNCTION("""COMPUTED_VALUE"""),45691.1041666666)</f>
        <v>45691.104166666599</v>
      </c>
      <c r="L556" s="373">
        <f ca="1">IFERROR(__xludf.DUMMYFUNCTION("""COMPUTED_VALUE"""),45691.2083333333)</f>
        <v>45691.208333333299</v>
      </c>
      <c r="M556" s="360" t="str">
        <f ca="1">IFERROR(__xludf.DUMMYFUNCTION("""COMPUTED_VALUE"""),"03/03/2025 MORNING")</f>
        <v>03/03/2025 MORNING</v>
      </c>
    </row>
    <row r="557" spans="1:13" ht="18.75">
      <c r="A557" s="360"/>
      <c r="B557" s="360"/>
      <c r="C557" s="361" t="str">
        <f ca="1">IFERROR(__xludf.DUMMYFUNCTION("""COMPUTED_VALUE"""),"THLCB")</f>
        <v>THLCB</v>
      </c>
      <c r="D557" s="366">
        <f ca="1">IFERROR(__xludf.DUMMYFUNCTION("""COMPUTED_VALUE"""),45719.25)</f>
        <v>45719.25</v>
      </c>
      <c r="E557" s="360"/>
      <c r="F557" s="360" t="str">
        <f ca="1">IFERROR(__xludf.DUMMYFUNCTION("""COMPUTED_VALUE"""),"26/02/2025 13:00")</f>
        <v>26/02/2025 13:00</v>
      </c>
      <c r="G557" s="360" t="str">
        <f ca="1">IFERROR(__xludf.DUMMYFUNCTION("""COMPUTED_VALUE"""),"27/02/2025 15:00")</f>
        <v>27/02/2025 15:00</v>
      </c>
      <c r="H557" s="360" t="str">
        <f ca="1">IFERROR(__xludf.DUMMYFUNCTION("""COMPUTED_VALUE"""),"27/02/2025 13:00")</f>
        <v>27/02/2025 13:00</v>
      </c>
      <c r="I557" s="362" t="str">
        <f ca="1">IFERROR(__xludf.DUMMYFUNCTION("""COMPUTED_VALUE"""),"27/02/2025 15:00")</f>
        <v>27/02/2025 15:00</v>
      </c>
      <c r="J557" s="362" t="str">
        <f ca="1">IFERROR(__xludf.DUMMYFUNCTION("""COMPUTED_VALUE"""),"28/02/2025 16:00")</f>
        <v>28/02/2025 16:00</v>
      </c>
      <c r="K557" s="370">
        <f ca="1">IFERROR(__xludf.DUMMYFUNCTION("""COMPUTED_VALUE"""),45691.4791666666)</f>
        <v>45691.479166666599</v>
      </c>
      <c r="L557" s="373">
        <f ca="1">IFERROR(__xludf.DUMMYFUNCTION("""COMPUTED_VALUE"""),45691.7916666666)</f>
        <v>45691.791666666599</v>
      </c>
      <c r="M557" s="360" t="str">
        <f ca="1">IFERROR(__xludf.DUMMYFUNCTION("""COMPUTED_VALUE"""),"03/03/2025 MORNING")</f>
        <v>03/03/2025 MORNING</v>
      </c>
    </row>
    <row r="558" spans="1:13" ht="18.75">
      <c r="A558" s="360" t="str">
        <f ca="1">IFERROR(__xludf.DUMMYFUNCTION("""COMPUTED_VALUE"""),"TRX")</f>
        <v>TRX</v>
      </c>
      <c r="B558" s="360" t="str">
        <f ca="1">IFERROR(__xludf.DUMMYFUNCTION("""COMPUTED_VALUE"""),"GREEN EARTH V.007N")</f>
        <v>GREEN EARTH V.007N</v>
      </c>
      <c r="C558" s="361" t="str">
        <f ca="1">IFERROR(__xludf.DUMMYFUNCTION("""COMPUTED_VALUE"""),"THBKK")</f>
        <v>THBKK</v>
      </c>
      <c r="D558" s="360" t="str">
        <f ca="1">IFERROR(__xludf.DUMMYFUNCTION("""COMPUTED_VALUE"""),"25/02/2025 19:30")</f>
        <v>25/02/2025 19:30</v>
      </c>
      <c r="E558" s="360" t="str">
        <f ca="1">IFERROR(__xludf.DUMMYFUNCTION("""COMPUTED_VALUE"""),"33.75 24/02/2025")</f>
        <v>33.75 24/02/2025</v>
      </c>
      <c r="F558" s="360" t="str">
        <f ca="1">IFERROR(__xludf.DUMMYFUNCTION("""COMPUTED_VALUE"""),"27/02/2025 13:00")</f>
        <v>27/02/2025 13:00</v>
      </c>
      <c r="G558" s="360" t="str">
        <f ca="1">IFERROR(__xludf.DUMMYFUNCTION("""COMPUTED_VALUE"""),"28/02/2025 15:00")</f>
        <v>28/02/2025 15:00</v>
      </c>
      <c r="H558" s="360" t="str">
        <f ca="1">IFERROR(__xludf.DUMMYFUNCTION("""COMPUTED_VALUE"""),"28/03/2025 13:00")</f>
        <v>28/03/2025 13:00</v>
      </c>
      <c r="I558" s="369">
        <f ca="1">IFERROR(__xludf.DUMMYFUNCTION("""COMPUTED_VALUE"""),45691.625)</f>
        <v>45691.625</v>
      </c>
      <c r="J558" s="369">
        <f ca="1">IFERROR(__xludf.DUMMYFUNCTION("""COMPUTED_VALUE"""),45719.6666666666)</f>
        <v>45719.666666666599</v>
      </c>
      <c r="K558" s="370">
        <f ca="1">IFERROR(__xludf.DUMMYFUNCTION("""COMPUTED_VALUE"""),45750.7291666666)</f>
        <v>45750.729166666599</v>
      </c>
      <c r="L558" s="373">
        <f ca="1">IFERROR(__xludf.DUMMYFUNCTION("""COMPUTED_VALUE"""),45750.7083333333)</f>
        <v>45750.708333333299</v>
      </c>
      <c r="M558" s="360" t="str">
        <f ca="1">IFERROR(__xludf.DUMMYFUNCTION("""COMPUTED_VALUE"""),"05/03/2025 MORNING")</f>
        <v>05/03/2025 MORNING</v>
      </c>
    </row>
    <row r="559" spans="1:13" ht="18.75">
      <c r="A559" s="360"/>
      <c r="B559" s="360"/>
      <c r="C559" s="361" t="str">
        <f ca="1">IFERROR(__xludf.DUMMYFUNCTION("""COMPUTED_VALUE"""),"THLCB")</f>
        <v>THLCB</v>
      </c>
      <c r="D559" s="360" t="str">
        <f ca="1">IFERROR(__xludf.DUMMYFUNCTION("""COMPUTED_VALUE"""),"27/02/2025 09:00")</f>
        <v>27/02/2025 09:00</v>
      </c>
      <c r="E559" s="360"/>
      <c r="F559" s="360" t="str">
        <f ca="1">IFERROR(__xludf.DUMMYFUNCTION("""COMPUTED_VALUE"""),"28/02/2025 13:00")</f>
        <v>28/02/2025 13:00</v>
      </c>
      <c r="G559" s="366">
        <f ca="1">IFERROR(__xludf.DUMMYFUNCTION("""COMPUTED_VALUE"""),45719.625)</f>
        <v>45719.625</v>
      </c>
      <c r="H559" s="366">
        <f ca="1">IFERROR(__xludf.DUMMYFUNCTION("""COMPUTED_VALUE"""),45719.5416666666)</f>
        <v>45719.541666666599</v>
      </c>
      <c r="I559" s="369">
        <f ca="1">IFERROR(__xludf.DUMMYFUNCTION("""COMPUTED_VALUE"""),45750.625)</f>
        <v>45750.625</v>
      </c>
      <c r="J559" s="369">
        <f ca="1">IFERROR(__xludf.DUMMYFUNCTION("""COMPUTED_VALUE"""),45780.6666666666)</f>
        <v>45780.666666666599</v>
      </c>
      <c r="K559" s="370">
        <f ca="1">IFERROR(__xludf.DUMMYFUNCTION("""COMPUTED_VALUE"""),45811.4166666666)</f>
        <v>45811.416666666599</v>
      </c>
      <c r="L559" s="366">
        <f ca="1">IFERROR(__xludf.DUMMYFUNCTION("""COMPUTED_VALUE"""),45811.35)</f>
        <v>45811.35</v>
      </c>
      <c r="M559" s="360" t="str">
        <f ca="1">IFERROR(__xludf.DUMMYFUNCTION("""COMPUTED_VALUE"""),"06/03/2025 NOON")</f>
        <v>06/03/2025 NOON</v>
      </c>
    </row>
    <row r="560" spans="1:13" ht="18.75">
      <c r="A560" s="360" t="str">
        <f ca="1">IFERROR(__xludf.DUMMYFUNCTION("""COMPUTED_VALUE"""),"TRX")</f>
        <v>TRX</v>
      </c>
      <c r="B560" s="360" t="str">
        <f ca="1">IFERROR(__xludf.DUMMYFUNCTION("""COMPUTED_VALUE"""),"MILLENNIUM BRIGHT V.25006N")</f>
        <v>MILLENNIUM BRIGHT V.25006N</v>
      </c>
      <c r="C560" s="361" t="str">
        <f ca="1">IFERROR(__xludf.DUMMYFUNCTION("""COMPUTED_VALUE"""),"THBKK")</f>
        <v>THBKK</v>
      </c>
      <c r="D560" s="366">
        <f ca="1">IFERROR(__xludf.DUMMYFUNCTION("""COMPUTED_VALUE"""),45750.8125)</f>
        <v>45750.8125</v>
      </c>
      <c r="E560" s="360" t="str">
        <f ca="1">IFERROR(__xludf.DUMMYFUNCTION("""COMPUTED_VALUE"""),"33.89 25/02/2025")</f>
        <v>33.89 25/02/2025</v>
      </c>
      <c r="F560" s="360" t="str">
        <f ca="1">IFERROR(__xludf.DUMMYFUNCTION("""COMPUTED_VALUE"""),"28/02/2025 13:00")</f>
        <v>28/02/2025 13:00</v>
      </c>
      <c r="G560" s="360" t="str">
        <f ca="1">IFERROR(__xludf.DUMMYFUNCTION("""COMPUTED_VALUE"""),"28/02/2025 15:00")</f>
        <v>28/02/2025 15:00</v>
      </c>
      <c r="H560" s="366">
        <f ca="1">IFERROR(__xludf.DUMMYFUNCTION("""COMPUTED_VALUE"""),45691.5416666666)</f>
        <v>45691.541666666599</v>
      </c>
      <c r="I560" s="369">
        <f ca="1">IFERROR(__xludf.DUMMYFUNCTION("""COMPUTED_VALUE"""),45719.625)</f>
        <v>45719.625</v>
      </c>
      <c r="J560" s="369">
        <f ca="1">IFERROR(__xludf.DUMMYFUNCTION("""COMPUTED_VALUE"""),45750.6666666666)</f>
        <v>45750.666666666599</v>
      </c>
      <c r="K560" s="370">
        <f ca="1">IFERROR(__xludf.DUMMYFUNCTION("""COMPUTED_VALUE"""),45780.9583333333)</f>
        <v>45780.958333333299</v>
      </c>
      <c r="L560" s="373">
        <f ca="1">IFERROR(__xludf.DUMMYFUNCTION("""COMPUTED_VALUE"""),45780.9583333333)</f>
        <v>45780.958333333299</v>
      </c>
      <c r="M560" s="360" t="str">
        <f ca="1">IFERROR(__xludf.DUMMYFUNCTION("""COMPUTED_VALUE"""),"06/03/2025 MORNING")</f>
        <v>06/03/2025 MORNING</v>
      </c>
    </row>
    <row r="561" spans="1:13" ht="18.75">
      <c r="A561" s="360"/>
      <c r="B561" s="360"/>
      <c r="C561" s="361" t="str">
        <f ca="1">IFERROR(__xludf.DUMMYFUNCTION("""COMPUTED_VALUE"""),"THLCB")</f>
        <v>THLCB</v>
      </c>
      <c r="D561" s="366">
        <f ca="1">IFERROR(__xludf.DUMMYFUNCTION("""COMPUTED_VALUE"""),45780.375)</f>
        <v>45780.375</v>
      </c>
      <c r="E561" s="360"/>
      <c r="F561" s="366">
        <f ca="1">IFERROR(__xludf.DUMMYFUNCTION("""COMPUTED_VALUE"""),45719.5416666666)</f>
        <v>45719.541666666599</v>
      </c>
      <c r="G561" s="366">
        <f ca="1">IFERROR(__xludf.DUMMYFUNCTION("""COMPUTED_VALUE"""),45750.625)</f>
        <v>45750.625</v>
      </c>
      <c r="H561" s="366">
        <f ca="1">IFERROR(__xludf.DUMMYFUNCTION("""COMPUTED_VALUE"""),45750.5416666666)</f>
        <v>45750.541666666599</v>
      </c>
      <c r="I561" s="369">
        <f ca="1">IFERROR(__xludf.DUMMYFUNCTION("""COMPUTED_VALUE"""),45780.625)</f>
        <v>45780.625</v>
      </c>
      <c r="J561" s="369">
        <f ca="1">IFERROR(__xludf.DUMMYFUNCTION("""COMPUTED_VALUE"""),45811.6666666666)</f>
        <v>45811.666666666599</v>
      </c>
      <c r="K561" s="370">
        <f ca="1">IFERROR(__xludf.DUMMYFUNCTION("""COMPUTED_VALUE"""),45841.1666666666)</f>
        <v>45841.166666666599</v>
      </c>
      <c r="L561" s="366">
        <f ca="1">IFERROR(__xludf.DUMMYFUNCTION("""COMPUTED_VALUE"""),45841.3333333333)</f>
        <v>45841.333333333299</v>
      </c>
      <c r="M561" s="360" t="str">
        <f ca="1">IFERROR(__xludf.DUMMYFUNCTION("""COMPUTED_VALUE"""),"07/03/2025 NOON")</f>
        <v>07/03/2025 NOON</v>
      </c>
    </row>
    <row r="562" spans="1:13" ht="18.75">
      <c r="A562" s="360" t="str">
        <f ca="1">IFERROR(__xludf.DUMMYFUNCTION("""COMPUTED_VALUE"""),"CHT")</f>
        <v>CHT</v>
      </c>
      <c r="B562" s="360" t="str">
        <f ca="1">IFERROR(__xludf.DUMMYFUNCTION("""COMPUTED_VALUE"""),"TS TIANJIN V.25002N")</f>
        <v>TS TIANJIN V.25002N</v>
      </c>
      <c r="C562" s="361" t="str">
        <f ca="1">IFERROR(__xludf.DUMMYFUNCTION("""COMPUTED_VALUE"""),"THBKK")</f>
        <v>THBKK</v>
      </c>
      <c r="D562" s="360" t="str">
        <f ca="1">IFERROR(__xludf.DUMMYFUNCTION("""COMPUTED_VALUE"""),"26/02/2025 18:00")</f>
        <v>26/02/2025 18:00</v>
      </c>
      <c r="E562" s="360" t="str">
        <f ca="1">IFERROR(__xludf.DUMMYFUNCTION("""COMPUTED_VALUE"""),"33.85 21/02/2025")</f>
        <v>33.85 21/02/2025</v>
      </c>
      <c r="F562" s="360" t="str">
        <f ca="1">IFERROR(__xludf.DUMMYFUNCTION("""COMPUTED_VALUE"""),"25/02/2025 13:00")</f>
        <v>25/02/2025 13:00</v>
      </c>
      <c r="G562" s="360" t="str">
        <f ca="1">IFERROR(__xludf.DUMMYFUNCTION("""COMPUTED_VALUE"""),"26/02/2025 15:00")</f>
        <v>26/02/2025 15:00</v>
      </c>
      <c r="H562" s="360" t="str">
        <f ca="1">IFERROR(__xludf.DUMMYFUNCTION("""COMPUTED_VALUE"""),"26/02/2025 13:00")</f>
        <v>26/02/2025 13:00</v>
      </c>
      <c r="I562" s="362" t="str">
        <f ca="1">IFERROR(__xludf.DUMMYFUNCTION("""COMPUTED_VALUE"""),"27/02/2025 15:00")</f>
        <v>27/02/2025 15:00</v>
      </c>
      <c r="J562" s="362" t="str">
        <f ca="1">IFERROR(__xludf.DUMMYFUNCTION("""COMPUTED_VALUE"""),"28/02/2025 16:00")</f>
        <v>28/02/2025 16:00</v>
      </c>
      <c r="K562" s="370">
        <f ca="1">IFERROR(__xludf.DUMMYFUNCTION("""COMPUTED_VALUE"""),45719.2083333333)</f>
        <v>45719.208333333299</v>
      </c>
      <c r="L562" s="373">
        <f ca="1">IFERROR(__xludf.DUMMYFUNCTION("""COMPUTED_VALUE"""),45719.1666666666)</f>
        <v>45719.166666666599</v>
      </c>
      <c r="M562" s="360" t="str">
        <f ca="1">IFERROR(__xludf.DUMMYFUNCTION("""COMPUTED_VALUE"""),"03/03/2025 NOON")</f>
        <v>03/03/2025 NOON</v>
      </c>
    </row>
    <row r="563" spans="1:13" ht="18.75">
      <c r="A563" s="360"/>
      <c r="B563" s="360"/>
      <c r="C563" s="361" t="str">
        <f ca="1">IFERROR(__xludf.DUMMYFUNCTION("""COMPUTED_VALUE"""),"THLCB")</f>
        <v>THLCB</v>
      </c>
      <c r="D563" s="360" t="str">
        <f ca="1">IFERROR(__xludf.DUMMYFUNCTION("""COMPUTED_VALUE"""),"27/02/2025 12:00")</f>
        <v>27/02/2025 12:00</v>
      </c>
      <c r="E563" s="360"/>
      <c r="F563" s="360" t="str">
        <f ca="1">IFERROR(__xludf.DUMMYFUNCTION("""COMPUTED_VALUE"""),"27/02/2025 13:00")</f>
        <v>27/02/2025 13:00</v>
      </c>
      <c r="G563" s="360" t="str">
        <f ca="1">IFERROR(__xludf.DUMMYFUNCTION("""COMPUTED_VALUE"""),"28/02/2025 15:00")</f>
        <v>28/02/2025 15:00</v>
      </c>
      <c r="H563" s="360" t="str">
        <f ca="1">IFERROR(__xludf.DUMMYFUNCTION("""COMPUTED_VALUE"""),"28/03/2025 13:00")</f>
        <v>28/03/2025 13:00</v>
      </c>
      <c r="I563" s="369">
        <f ca="1">IFERROR(__xludf.DUMMYFUNCTION("""COMPUTED_VALUE"""),45691.625)</f>
        <v>45691.625</v>
      </c>
      <c r="J563" s="369">
        <f ca="1">IFERROR(__xludf.DUMMYFUNCTION("""COMPUTED_VALUE"""),45719.6666666666)</f>
        <v>45719.666666666599</v>
      </c>
      <c r="K563" s="370">
        <f ca="1">IFERROR(__xludf.DUMMYFUNCTION("""COMPUTED_VALUE"""),45750.9166666666)</f>
        <v>45750.916666666599</v>
      </c>
      <c r="L563" s="373">
        <f ca="1">IFERROR(__xludf.DUMMYFUNCTION("""COMPUTED_VALUE"""),45750.13125)</f>
        <v>45750.131249999999</v>
      </c>
      <c r="M563" s="360" t="str">
        <f ca="1">IFERROR(__xludf.DUMMYFUNCTION("""COMPUTED_VALUE"""),"04/03/2025 NOON")</f>
        <v>04/03/2025 NOON</v>
      </c>
    </row>
    <row r="564" spans="1:13" ht="18.75">
      <c r="A564" s="360" t="str">
        <f ca="1">IFERROR(__xludf.DUMMYFUNCTION("""COMPUTED_VALUE"""),"CVT")</f>
        <v>CVT</v>
      </c>
      <c r="B564" s="360" t="str">
        <f ca="1">IFERROR(__xludf.DUMMYFUNCTION("""COMPUTED_VALUE"""),"TS QINGDAO 25003N")</f>
        <v>TS QINGDAO 25003N</v>
      </c>
      <c r="C564" s="361" t="str">
        <f ca="1">IFERROR(__xludf.DUMMYFUNCTION("""COMPUTED_VALUE"""),"THBKK")</f>
        <v>THBKK</v>
      </c>
      <c r="D564" s="360" t="str">
        <f ca="1">IFERROR(__xludf.DUMMYFUNCTION("""COMPUTED_VALUE"""),"27/02/2025 08:00")</f>
        <v>27/02/2025 08:00</v>
      </c>
      <c r="E564" s="360" t="str">
        <f ca="1">IFERROR(__xludf.DUMMYFUNCTION("""COMPUTED_VALUE"""),"33.85 21/02/2025")</f>
        <v>33.85 21/02/2025</v>
      </c>
      <c r="F564" s="360" t="str">
        <f ca="1">IFERROR(__xludf.DUMMYFUNCTION("""COMPUTED_VALUE"""),"25/02/2025 13:00")</f>
        <v>25/02/2025 13:00</v>
      </c>
      <c r="G564" s="360" t="str">
        <f ca="1">IFERROR(__xludf.DUMMYFUNCTION("""COMPUTED_VALUE"""),"26/02/2025 15:00")</f>
        <v>26/02/2025 15:00</v>
      </c>
      <c r="H564" s="360" t="str">
        <f ca="1">IFERROR(__xludf.DUMMYFUNCTION("""COMPUTED_VALUE"""),"26/02/2025 13:00")</f>
        <v>26/02/2025 13:00</v>
      </c>
      <c r="I564" s="362" t="str">
        <f ca="1">IFERROR(__xludf.DUMMYFUNCTION("""COMPUTED_VALUE"""),"27/02/2025 15:00")</f>
        <v>27/02/2025 15:00</v>
      </c>
      <c r="J564" s="362" t="str">
        <f ca="1">IFERROR(__xludf.DUMMYFUNCTION("""COMPUTED_VALUE"""),"28/02/2025 16:00")</f>
        <v>28/02/2025 16:00</v>
      </c>
      <c r="K564" s="370">
        <f ca="1">IFERROR(__xludf.DUMMYFUNCTION("""COMPUTED_VALUE"""),45719.75)</f>
        <v>45719.75</v>
      </c>
      <c r="L564" s="373">
        <f ca="1">IFERROR(__xludf.DUMMYFUNCTION("""COMPUTED_VALUE"""),45719.7083333333)</f>
        <v>45719.708333333299</v>
      </c>
      <c r="M564" s="360" t="str">
        <f ca="1">IFERROR(__xludf.DUMMYFUNCTION("""COMPUTED_VALUE"""),"04/03/2025 MORNING")</f>
        <v>04/03/2025 MORNING</v>
      </c>
    </row>
    <row r="565" spans="1:13" ht="18.75">
      <c r="A565" s="360"/>
      <c r="B565" s="360"/>
      <c r="C565" s="361" t="str">
        <f ca="1">IFERROR(__xludf.DUMMYFUNCTION("""COMPUTED_VALUE"""),"THLCB")</f>
        <v>THLCB</v>
      </c>
      <c r="D565" s="360" t="str">
        <f ca="1">IFERROR(__xludf.DUMMYFUNCTION("""COMPUTED_VALUE"""),"28/02/2025 04:00")</f>
        <v>28/02/2025 04:00</v>
      </c>
      <c r="E565" s="360"/>
      <c r="F565" s="360" t="str">
        <f ca="1">IFERROR(__xludf.DUMMYFUNCTION("""COMPUTED_VALUE"""),"27/02/2025 13:00")</f>
        <v>27/02/2025 13:00</v>
      </c>
      <c r="G565" s="360" t="str">
        <f ca="1">IFERROR(__xludf.DUMMYFUNCTION("""COMPUTED_VALUE"""),"28/02/2025 15:00")</f>
        <v>28/02/2025 15:00</v>
      </c>
      <c r="H565" s="360" t="str">
        <f ca="1">IFERROR(__xludf.DUMMYFUNCTION("""COMPUTED_VALUE"""),"28/03/2025 13:00")</f>
        <v>28/03/2025 13:00</v>
      </c>
      <c r="I565" s="369">
        <f ca="1">IFERROR(__xludf.DUMMYFUNCTION("""COMPUTED_VALUE"""),45691.625)</f>
        <v>45691.625</v>
      </c>
      <c r="J565" s="369">
        <f ca="1">IFERROR(__xludf.DUMMYFUNCTION("""COMPUTED_VALUE"""),45719.6666666666)</f>
        <v>45719.666666666599</v>
      </c>
      <c r="K565" s="370">
        <f ca="1">IFERROR(__xludf.DUMMYFUNCTION("""COMPUTED_VALUE"""),45750.5416666666)</f>
        <v>45750.541666666599</v>
      </c>
      <c r="L565" s="373">
        <f ca="1">IFERROR(__xludf.DUMMYFUNCTION("""COMPUTED_VALUE"""),45750.8347222222)</f>
        <v>45750.8347222222</v>
      </c>
      <c r="M565" s="360" t="str">
        <f ca="1">IFERROR(__xludf.DUMMYFUNCTION("""COMPUTED_VALUE"""),"05/03/2025 MORNING")</f>
        <v>05/03/2025 MORNING</v>
      </c>
    </row>
    <row r="566" spans="1:13" ht="18.75">
      <c r="A566" s="360" t="str">
        <f ca="1">IFERROR(__xludf.DUMMYFUNCTION("""COMPUTED_VALUE"""),"CVT")</f>
        <v>CVT</v>
      </c>
      <c r="B566" s="360" t="str">
        <f ca="1">IFERROR(__xludf.DUMMYFUNCTION("""COMPUTED_VALUE"""),"AVIOS V.2504N")</f>
        <v>AVIOS V.2504N</v>
      </c>
      <c r="C566" s="361" t="str">
        <f ca="1">IFERROR(__xludf.DUMMYFUNCTION("""COMPUTED_VALUE"""),"THBKK")</f>
        <v>THBKK</v>
      </c>
      <c r="D566" s="366">
        <f ca="1">IFERROR(__xludf.DUMMYFUNCTION("""COMPUTED_VALUE"""),45811.3333333333)</f>
        <v>45811.333333333299</v>
      </c>
      <c r="E566" s="360" t="str">
        <f ca="1">IFERROR(__xludf.DUMMYFUNCTION("""COMPUTED_VALUE"""),"33.97 26/02/2025")</f>
        <v>33.97 26/02/2025</v>
      </c>
      <c r="F566" s="360" t="str">
        <f ca="1">IFERROR(__xludf.DUMMYFUNCTION("""COMPUTED_VALUE"""),"28/02/2025 13:00")</f>
        <v>28/02/2025 13:00</v>
      </c>
      <c r="G566" s="366">
        <f ca="1">IFERROR(__xludf.DUMMYFUNCTION("""COMPUTED_VALUE"""),45719.625)</f>
        <v>45719.625</v>
      </c>
      <c r="H566" s="366">
        <f ca="1">IFERROR(__xludf.DUMMYFUNCTION("""COMPUTED_VALUE"""),45719.5416666666)</f>
        <v>45719.541666666599</v>
      </c>
      <c r="I566" s="369">
        <f ca="1">IFERROR(__xludf.DUMMYFUNCTION("""COMPUTED_VALUE"""),45750.625)</f>
        <v>45750.625</v>
      </c>
      <c r="J566" s="369">
        <f ca="1">IFERROR(__xludf.DUMMYFUNCTION("""COMPUTED_VALUE"""),45780.6666666666)</f>
        <v>45780.666666666599</v>
      </c>
      <c r="K566" s="370">
        <f ca="1">IFERROR(__xludf.DUMMYFUNCTION("""COMPUTED_VALUE"""),45811.3333333333)</f>
        <v>45811.333333333299</v>
      </c>
      <c r="L566" s="373">
        <f ca="1">IFERROR(__xludf.DUMMYFUNCTION("""COMPUTED_VALUE"""),45811.1666666666)</f>
        <v>45811.166666666599</v>
      </c>
      <c r="M566" s="360" t="str">
        <f ca="1">IFERROR(__xludf.DUMMYFUNCTION("""COMPUTED_VALUE"""),"06/03/2025 NOON")</f>
        <v>06/03/2025 NOON</v>
      </c>
    </row>
    <row r="567" spans="1:13" ht="18.75">
      <c r="A567" s="360"/>
      <c r="B567" s="360"/>
      <c r="C567" s="361" t="str">
        <f ca="1">IFERROR(__xludf.DUMMYFUNCTION("""COMPUTED_VALUE"""),"THLCB")</f>
        <v>THLCB</v>
      </c>
      <c r="D567" s="366">
        <f ca="1">IFERROR(__xludf.DUMMYFUNCTION("""COMPUTED_VALUE"""),45841.1666666666)</f>
        <v>45841.166666666599</v>
      </c>
      <c r="E567" s="360"/>
      <c r="F567" s="366">
        <f ca="1">IFERROR(__xludf.DUMMYFUNCTION("""COMPUTED_VALUE"""),45719.5416666666)</f>
        <v>45719.541666666599</v>
      </c>
      <c r="G567" s="366">
        <f ca="1">IFERROR(__xludf.DUMMYFUNCTION("""COMPUTED_VALUE"""),45750.625)</f>
        <v>45750.625</v>
      </c>
      <c r="H567" s="366">
        <f ca="1">IFERROR(__xludf.DUMMYFUNCTION("""COMPUTED_VALUE"""),45750.5416666666)</f>
        <v>45750.541666666599</v>
      </c>
      <c r="I567" s="369">
        <f ca="1">IFERROR(__xludf.DUMMYFUNCTION("""COMPUTED_VALUE"""),45780.625)</f>
        <v>45780.625</v>
      </c>
      <c r="J567" s="369">
        <f ca="1">IFERROR(__xludf.DUMMYFUNCTION("""COMPUTED_VALUE"""),45811.6666666666)</f>
        <v>45811.666666666599</v>
      </c>
      <c r="K567" s="370">
        <f ca="1">IFERROR(__xludf.DUMMYFUNCTION("""COMPUTED_VALUE"""),45811.875)</f>
        <v>45811.875</v>
      </c>
      <c r="L567" s="366">
        <f ca="1">IFERROR(__xludf.DUMMYFUNCTION("""COMPUTED_VALUE"""),45811.875)</f>
        <v>45811.875</v>
      </c>
      <c r="M567" s="360" t="str">
        <f ca="1">IFERROR(__xludf.DUMMYFUNCTION("""COMPUTED_VALUE"""),"07/03/2025 MORNING")</f>
        <v>07/03/2025 MORNING</v>
      </c>
    </row>
    <row r="568" spans="1:13" ht="18.75">
      <c r="A568" s="360"/>
      <c r="B568" s="360"/>
      <c r="C568" s="361"/>
      <c r="D568" s="360"/>
      <c r="E568" s="360"/>
      <c r="F568" s="360"/>
      <c r="G568" s="360"/>
      <c r="H568" s="360"/>
      <c r="I568" s="362"/>
      <c r="J568" s="362"/>
      <c r="K568" s="362"/>
      <c r="L568" s="360"/>
      <c r="M568" s="360"/>
    </row>
    <row r="569" spans="1:13" ht="18.75">
      <c r="A569" s="360"/>
      <c r="B569" s="360" t="str">
        <f ca="1">IFERROR(__xludf.DUMMYFUNCTION("""COMPUTED_VALUE"""),"WEEK 09/2025")</f>
        <v>WEEK 09/2025</v>
      </c>
      <c r="C569" s="361"/>
      <c r="D569" s="360"/>
      <c r="E569" s="360"/>
      <c r="F569" s="360"/>
      <c r="G569" s="360"/>
      <c r="H569" s="360"/>
      <c r="I569" s="362"/>
      <c r="J569" s="362"/>
      <c r="K569" s="362"/>
      <c r="L569" s="360"/>
      <c r="M569" s="360"/>
    </row>
    <row r="570" spans="1:13" ht="18.75">
      <c r="A570" s="360"/>
      <c r="B570" s="360"/>
      <c r="C570" s="361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570" s="360"/>
      <c r="E570" s="360"/>
      <c r="F570" s="360"/>
      <c r="G570" s="360"/>
      <c r="H570" s="360"/>
      <c r="I570" s="362"/>
      <c r="J570" s="362"/>
      <c r="K570" s="362"/>
      <c r="L570" s="360"/>
      <c r="M570" s="360"/>
    </row>
    <row r="571" spans="1:13" ht="18.75">
      <c r="A571" s="360" t="str">
        <f ca="1">IFERROR(__xludf.DUMMYFUNCTION("""COMPUTED_VALUE"""),"SERVICE")</f>
        <v>SERVICE</v>
      </c>
      <c r="B571" s="360" t="str">
        <f ca="1">IFERROR(__xludf.DUMMYFUNCTION("""COMPUTED_VALUE"""),"VESSEL NAME")</f>
        <v>VESSEL NAME</v>
      </c>
      <c r="C571" s="361" t="str">
        <f ca="1">IFERROR(__xludf.DUMMYFUNCTION("""COMPUTED_VALUE"""),"PORT")</f>
        <v>PORT</v>
      </c>
      <c r="D571" s="360" t="str">
        <f ca="1">IFERROR(__xludf.DUMMYFUNCTION("""COMPUTED_VALUE"""),"PERFOMA ETD")</f>
        <v>PERFOMA ETD</v>
      </c>
      <c r="E571" s="360" t="str">
        <f ca="1">IFERROR(__xludf.DUMMYFUNCTION("""COMPUTED_VALUE"""),"EX.RATE/DATE/")</f>
        <v>EX.RATE/DATE/</v>
      </c>
      <c r="F571" s="360" t="str">
        <f ca="1">IFERROR(__xludf.DUMMYFUNCTION("""COMPUTED_VALUE"""),"SI CUT OFF USA")</f>
        <v>SI CUT OFF USA</v>
      </c>
      <c r="G571" s="360" t="str">
        <f ca="1">IFERROR(__xludf.DUMMYFUNCTION("""COMPUTED_VALUE"""),"SI CUT OFF")</f>
        <v>SI CUT OFF</v>
      </c>
      <c r="H571" s="360" t="str">
        <f ca="1">IFERROR(__xludf.DUMMYFUNCTION("""COMPUTED_VALUE"""),"B/L CFM USA")</f>
        <v>B/L CFM USA</v>
      </c>
      <c r="I571" s="362" t="str">
        <f ca="1">IFERROR(__xludf.DUMMYFUNCTION("""COMPUTED_VALUE"""),"B/L CFM CHINA,JP,VN")</f>
        <v>B/L CFM CHINA,JP,VN</v>
      </c>
      <c r="J571" s="362" t="str">
        <f ca="1">IFERROR(__xludf.DUMMYFUNCTION("""COMPUTED_VALUE"""),"B/L CONFIRM")</f>
        <v>B/L CONFIRM</v>
      </c>
      <c r="K571" s="362" t="str">
        <f ca="1">IFERROR(__xludf.DUMMYFUNCTION("""COMPUTED_VALUE"""),"ETD")</f>
        <v>ETD</v>
      </c>
      <c r="L571" s="360" t="str">
        <f ca="1">IFERROR(__xludf.DUMMYFUNCTION("""COMPUTED_VALUE"""),"ATD")</f>
        <v>ATD</v>
      </c>
      <c r="M571" s="360" t="str">
        <f ca="1">IFERROR(__xludf.DUMMYFUNCTION("""COMPUTED_VALUE"""),"B/L ISSUED DATE")</f>
        <v>B/L ISSUED DATE</v>
      </c>
    </row>
    <row r="572" spans="1:13" ht="18.75">
      <c r="A572" s="360"/>
      <c r="B572" s="360"/>
      <c r="C572" s="361"/>
      <c r="D572" s="360"/>
      <c r="E572" s="360" t="str">
        <f ca="1">IFERROR(__xludf.DUMMYFUNCTION("""COMPUTED_VALUE"""),"BANGKOK BANK")</f>
        <v>BANGKOK BANK</v>
      </c>
      <c r="F572" s="360" t="str">
        <f ca="1">IFERROR(__xludf.DUMMYFUNCTION("""COMPUTED_VALUE"""),"4 days before ETD")</f>
        <v>4 days before ETD</v>
      </c>
      <c r="G572" s="360"/>
      <c r="H572" s="360" t="str">
        <f ca="1">IFERROR(__xludf.DUMMYFUNCTION("""COMPUTED_VALUE"""),"3 days before ETD")</f>
        <v>3 days before ETD</v>
      </c>
      <c r="I572" s="362" t="str">
        <f ca="1">IFERROR(__xludf.DUMMYFUNCTION("""COMPUTED_VALUE"""),"Direct port CUT OFF")</f>
        <v>Direct port CUT OFF</v>
      </c>
      <c r="J572" s="362" t="str">
        <f ca="1">IFERROR(__xludf.DUMMYFUNCTION("""COMPUTED_VALUE"""),"Orther port CUT OFF")</f>
        <v>Orther port CUT OFF</v>
      </c>
      <c r="K572" s="362" t="str">
        <f ca="1">IFERROR(__xludf.DUMMYFUNCTION("""COMPUTED_VALUE"""),"ON BOARD DATE")</f>
        <v>ON BOARD DATE</v>
      </c>
      <c r="L572" s="360" t="str">
        <f ca="1">IFERROR(__xludf.DUMMYFUNCTION("""COMPUTED_VALUE"""),"วันเรือออกจริง")</f>
        <v>วันเรือออกจริง</v>
      </c>
      <c r="M572" s="360" t="str">
        <f ca="1">IFERROR(__xludf.DUMMYFUNCTION("""COMPUTED_VALUE"""),"วันปล่อยบีแอล")</f>
        <v>วันปล่อยบีแอล</v>
      </c>
    </row>
    <row r="573" spans="1:13" ht="18.75">
      <c r="A573" s="360"/>
      <c r="B573" s="360"/>
      <c r="C573" s="361"/>
      <c r="D573" s="360"/>
      <c r="E573" s="360"/>
      <c r="F573" s="360"/>
      <c r="G573" s="360" t="str">
        <f ca="1">IFERROR(__xludf.DUMMYFUNCTION("""COMPUTED_VALUE"""),"3 days before ETD")</f>
        <v>3 days before ETD</v>
      </c>
      <c r="H573" s="360"/>
      <c r="I573" s="362" t="str">
        <f ca="1">IFERROR(__xludf.DUMMYFUNCTION("""COMPUTED_VALUE"""),"2 days before ETD")</f>
        <v>2 days before ETD</v>
      </c>
      <c r="J573" s="362" t="str">
        <f ca="1">IFERROR(__xludf.DUMMYFUNCTION("""COMPUTED_VALUE"""),"1 days before ETD")</f>
        <v>1 days before ETD</v>
      </c>
      <c r="K573" s="362" t="str">
        <f ca="1">IFERROR(__xludf.DUMMYFUNCTION("""COMPUTED_VALUE"""),"SHOW ON B/L")</f>
        <v>SHOW ON B/L</v>
      </c>
      <c r="L573" s="360"/>
      <c r="M573" s="360"/>
    </row>
    <row r="574" spans="1:13" ht="18.75">
      <c r="A574" s="360" t="str">
        <f ca="1">IFERROR(__xludf.DUMMYFUNCTION("""COMPUTED_VALUE"""),"CHT")</f>
        <v>CHT</v>
      </c>
      <c r="B574" s="360" t="str">
        <f ca="1">IFERROR(__xludf.DUMMYFUNCTION("""COMPUTED_VALUE"""),"SAWASDEE RIGEL V.2502N")</f>
        <v>SAWASDEE RIGEL V.2502N</v>
      </c>
      <c r="C574" s="361" t="str">
        <f ca="1">IFERROR(__xludf.DUMMYFUNCTION("""COMPUTED_VALUE"""),"THBKK")</f>
        <v>THBKK</v>
      </c>
      <c r="D574" s="360" t="str">
        <f ca="1">IFERROR(__xludf.DUMMYFUNCTION("""COMPUTED_VALUE"""),"19/02/2025 18:00")</f>
        <v>19/02/2025 18:00</v>
      </c>
      <c r="E574" s="360" t="str">
        <f ca="1">IFERROR(__xludf.DUMMYFUNCTION("""COMPUTED_VALUE"""),"33.91 14/02/2025")</f>
        <v>33.91 14/02/2025</v>
      </c>
      <c r="F574" s="360" t="str">
        <f ca="1">IFERROR(__xludf.DUMMYFUNCTION("""COMPUTED_VALUE"""),"18/02/2025 13:00")</f>
        <v>18/02/2025 13:00</v>
      </c>
      <c r="G574" s="360" t="str">
        <f ca="1">IFERROR(__xludf.DUMMYFUNCTION("""COMPUTED_VALUE"""),"19/02/2025 15:00")</f>
        <v>19/02/2025 15:00</v>
      </c>
      <c r="H574" s="360" t="str">
        <f ca="1">IFERROR(__xludf.DUMMYFUNCTION("""COMPUTED_VALUE"""),"19/02/2025 13:00")</f>
        <v>19/02/2025 13:00</v>
      </c>
      <c r="I574" s="362" t="str">
        <f ca="1">IFERROR(__xludf.DUMMYFUNCTION("""COMPUTED_VALUE"""),"20/02/2025 15:00")</f>
        <v>20/02/2025 15:00</v>
      </c>
      <c r="J574" s="362" t="str">
        <f ca="1">IFERROR(__xludf.DUMMYFUNCTION("""COMPUTED_VALUE"""),"21/02/2025 16:00")</f>
        <v>21/02/2025 16:00</v>
      </c>
      <c r="K574" s="362" t="str">
        <f ca="1">IFERROR(__xludf.DUMMYFUNCTION("""COMPUTED_VALUE"""),"24/02/2025 07:00")</f>
        <v>24/02/2025 07:00</v>
      </c>
      <c r="L574" s="360" t="str">
        <f ca="1">IFERROR(__xludf.DUMMYFUNCTION("""COMPUTED_VALUE"""),"24/02/2025 07:00")</f>
        <v>24/02/2025 07:00</v>
      </c>
      <c r="M574" s="360" t="str">
        <f ca="1">IFERROR(__xludf.DUMMYFUNCTION("""COMPUTED_VALUE"""),"24/02/2025 NOON")</f>
        <v>24/02/2025 NOON</v>
      </c>
    </row>
    <row r="575" spans="1:13" ht="18.75">
      <c r="A575" s="360"/>
      <c r="B575" s="360"/>
      <c r="C575" s="361" t="str">
        <f ca="1">IFERROR(__xludf.DUMMYFUNCTION("""COMPUTED_VALUE"""),"THLCB")</f>
        <v>THLCB</v>
      </c>
      <c r="D575" s="360" t="str">
        <f ca="1">IFERROR(__xludf.DUMMYFUNCTION("""COMPUTED_VALUE"""),"20/02/2025 12:00")</f>
        <v>20/02/2025 12:00</v>
      </c>
      <c r="E575" s="360"/>
      <c r="F575" s="360" t="str">
        <f ca="1">IFERROR(__xludf.DUMMYFUNCTION("""COMPUTED_VALUE"""),"19/02/2025 13:00")</f>
        <v>19/02/2025 13:00</v>
      </c>
      <c r="G575" s="360" t="str">
        <f ca="1">IFERROR(__xludf.DUMMYFUNCTION("""COMPUTED_VALUE"""),"20/02/2025 15:00")</f>
        <v>20/02/2025 15:00</v>
      </c>
      <c r="H575" s="360" t="str">
        <f ca="1">IFERROR(__xludf.DUMMYFUNCTION("""COMPUTED_VALUE"""),"20/02/2025 13:00")</f>
        <v>20/02/2025 13:00</v>
      </c>
      <c r="I575" s="362" t="str">
        <f ca="1">IFERROR(__xludf.DUMMYFUNCTION("""COMPUTED_VALUE"""),"21/02/2025 15:00")</f>
        <v>21/02/2025 15:00</v>
      </c>
      <c r="J575" s="362" t="str">
        <f ca="1">IFERROR(__xludf.DUMMYFUNCTION("""COMPUTED_VALUE"""),"24/02/2025 16:00")</f>
        <v>24/02/2025 16:00</v>
      </c>
      <c r="K575" s="362" t="str">
        <f ca="1">IFERROR(__xludf.DUMMYFUNCTION("""COMPUTED_VALUE"""),"25/02/2025 02:00")</f>
        <v>25/02/2025 02:00</v>
      </c>
      <c r="L575" s="360" t="str">
        <f ca="1">IFERROR(__xludf.DUMMYFUNCTION("""COMPUTED_VALUE"""),"25/02/2025 02:00")</f>
        <v>25/02/2025 02:00</v>
      </c>
      <c r="M575" s="360" t="str">
        <f ca="1">IFERROR(__xludf.DUMMYFUNCTION("""COMPUTED_VALUE"""),"25/02/2025 NOON")</f>
        <v>25/02/2025 NOON</v>
      </c>
    </row>
    <row r="576" spans="1:13" ht="18.75">
      <c r="A576" s="360" t="str">
        <f ca="1">IFERROR(__xludf.DUMMYFUNCTION("""COMPUTED_VALUE"""),"CVT")</f>
        <v>CVT</v>
      </c>
      <c r="B576" s="360" t="str">
        <f ca="1">IFERROR(__xludf.DUMMYFUNCTION("""COMPUTED_VALUE"""),"KMTC TAIPEIS V.2502N")</f>
        <v>KMTC TAIPEIS V.2502N</v>
      </c>
      <c r="C576" s="361" t="str">
        <f ca="1">IFERROR(__xludf.DUMMYFUNCTION("""COMPUTED_VALUE"""),"THBKK")</f>
        <v>THBKK</v>
      </c>
      <c r="D576" s="360" t="str">
        <f ca="1">IFERROR(__xludf.DUMMYFUNCTION("""COMPUTED_VALUE"""),"20/02/2025 08:00")</f>
        <v>20/02/2025 08:00</v>
      </c>
      <c r="E576" s="360" t="str">
        <f ca="1">IFERROR(__xludf.DUMMYFUNCTION("""COMPUTED_VALUE"""),"33.93 19/02/2025")</f>
        <v>33.93 19/02/2025</v>
      </c>
      <c r="F576" s="360" t="str">
        <f ca="1">IFERROR(__xludf.DUMMYFUNCTION("""COMPUTED_VALUE"""),"24/02/2025 13:00")</f>
        <v>24/02/2025 13:00</v>
      </c>
      <c r="G576" s="360" t="str">
        <f ca="1">IFERROR(__xludf.DUMMYFUNCTION("""COMPUTED_VALUE"""),"24/02/2025 15:00")</f>
        <v>24/02/2025 15:00</v>
      </c>
      <c r="H576" s="360" t="str">
        <f ca="1">IFERROR(__xludf.DUMMYFUNCTION("""COMPUTED_VALUE"""),"24/02/2025 13:00")</f>
        <v>24/02/2025 13:00</v>
      </c>
      <c r="I576" s="362" t="str">
        <f ca="1">IFERROR(__xludf.DUMMYFUNCTION("""COMPUTED_VALUE"""),"25/02/2025 15:00")</f>
        <v>25/02/2025 15:00</v>
      </c>
      <c r="J576" s="362" t="str">
        <f ca="1">IFERROR(__xludf.DUMMYFUNCTION("""COMPUTED_VALUE"""),"26/02/2025 16:00")</f>
        <v>26/02/2025 16:00</v>
      </c>
      <c r="K576" s="362" t="str">
        <f ca="1">IFERROR(__xludf.DUMMYFUNCTION("""COMPUTED_VALUE"""),"27/02/2025 08:00")</f>
        <v>27/02/2025 08:00</v>
      </c>
      <c r="L576" s="360" t="str">
        <f ca="1">IFERROR(__xludf.DUMMYFUNCTION("""COMPUTED_VALUE"""),"27/02/2025  07:00")</f>
        <v>27/02/2025  07:00</v>
      </c>
      <c r="M576" s="360" t="str">
        <f ca="1">IFERROR(__xludf.DUMMYFUNCTION("""COMPUTED_VALUE"""),"27/02/2025 NOON")</f>
        <v>27/02/2025 NOON</v>
      </c>
    </row>
    <row r="577" spans="1:13" ht="18.75">
      <c r="A577" s="360"/>
      <c r="B577" s="360"/>
      <c r="C577" s="361" t="str">
        <f ca="1">IFERROR(__xludf.DUMMYFUNCTION("""COMPUTED_VALUE"""),"THLCB")</f>
        <v>THLCB</v>
      </c>
      <c r="D577" s="360" t="str">
        <f ca="1">IFERROR(__xludf.DUMMYFUNCTION("""COMPUTED_VALUE"""),"21/02/2025 04:00")</f>
        <v>21/02/2025 04:00</v>
      </c>
      <c r="E577" s="360"/>
      <c r="F577" s="360" t="str">
        <f ca="1">IFERROR(__xludf.DUMMYFUNCTION("""COMPUTED_VALUE"""),"24/02/2025 13:00")</f>
        <v>24/02/2025 13:00</v>
      </c>
      <c r="G577" s="360" t="str">
        <f ca="1">IFERROR(__xludf.DUMMYFUNCTION("""COMPUTED_VALUE"""),"25/02/2025 15:00")</f>
        <v>25/02/2025 15:00</v>
      </c>
      <c r="H577" s="360" t="str">
        <f ca="1">IFERROR(__xludf.DUMMYFUNCTION("""COMPUTED_VALUE"""),"25/02/2025 13:00")</f>
        <v>25/02/2025 13:00</v>
      </c>
      <c r="I577" s="362" t="str">
        <f ca="1">IFERROR(__xludf.DUMMYFUNCTION("""COMPUTED_VALUE"""),"26/02/2025 15:00")</f>
        <v>26/02/2025 15:00</v>
      </c>
      <c r="J577" s="362" t="str">
        <f ca="1">IFERROR(__xludf.DUMMYFUNCTION("""COMPUTED_VALUE"""),"27/02/2025 16:00")</f>
        <v>27/02/2025 16:00</v>
      </c>
      <c r="K577" s="362" t="str">
        <f ca="1">IFERROR(__xludf.DUMMYFUNCTION("""COMPUTED_VALUE"""),"28/02/2025 13:00")</f>
        <v>28/02/2025 13:00</v>
      </c>
      <c r="L577" s="360" t="str">
        <f ca="1">IFERROR(__xludf.DUMMYFUNCTION("""COMPUTED_VALUE"""),"28/02/2025  13:30")</f>
        <v>28/02/2025  13:30</v>
      </c>
      <c r="M577" s="360" t="str">
        <f ca="1">IFERROR(__xludf.DUMMYFUNCTION("""COMPUTED_VALUE"""),"28/02/2025 NOON")</f>
        <v>28/02/2025 NOON</v>
      </c>
    </row>
    <row r="578" spans="1:13" ht="18.75">
      <c r="A578" s="360"/>
      <c r="B578" s="360"/>
      <c r="C578" s="361"/>
      <c r="D578" s="360"/>
      <c r="E578" s="360"/>
      <c r="F578" s="360"/>
      <c r="G578" s="360"/>
      <c r="H578" s="360"/>
      <c r="I578" s="362"/>
      <c r="J578" s="362"/>
      <c r="K578" s="362"/>
      <c r="L578" s="360"/>
      <c r="M578" s="360"/>
    </row>
    <row r="579" spans="1:13" ht="18.75">
      <c r="A579" s="360"/>
      <c r="B579" s="360" t="str">
        <f ca="1">IFERROR(__xludf.DUMMYFUNCTION("""COMPUTED_VALUE"""),"WEEK 08/2025")</f>
        <v>WEEK 08/2025</v>
      </c>
      <c r="C579" s="361"/>
      <c r="D579" s="360"/>
      <c r="E579" s="360"/>
      <c r="F579" s="360"/>
      <c r="G579" s="360"/>
      <c r="H579" s="360"/>
      <c r="I579" s="362"/>
      <c r="J579" s="362"/>
      <c r="K579" s="362"/>
      <c r="L579" s="360"/>
      <c r="M579" s="360"/>
    </row>
    <row r="580" spans="1:13" ht="18.75">
      <c r="A580" s="360"/>
      <c r="B580" s="360"/>
      <c r="C580" s="361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580" s="360"/>
      <c r="E580" s="360"/>
      <c r="F580" s="360"/>
      <c r="G580" s="360"/>
      <c r="H580" s="360"/>
      <c r="I580" s="362"/>
      <c r="J580" s="362"/>
      <c r="K580" s="362"/>
      <c r="L580" s="360"/>
      <c r="M580" s="360"/>
    </row>
    <row r="581" spans="1:13" ht="18.75">
      <c r="A581" s="360" t="str">
        <f ca="1">IFERROR(__xludf.DUMMYFUNCTION("""COMPUTED_VALUE"""),"SERVICE")</f>
        <v>SERVICE</v>
      </c>
      <c r="B581" s="360" t="str">
        <f ca="1">IFERROR(__xludf.DUMMYFUNCTION("""COMPUTED_VALUE"""),"VESSEL NAME")</f>
        <v>VESSEL NAME</v>
      </c>
      <c r="C581" s="361" t="str">
        <f ca="1">IFERROR(__xludf.DUMMYFUNCTION("""COMPUTED_VALUE"""),"PORT")</f>
        <v>PORT</v>
      </c>
      <c r="D581" s="360" t="str">
        <f ca="1">IFERROR(__xludf.DUMMYFUNCTION("""COMPUTED_VALUE"""),"PERFOMA ETD")</f>
        <v>PERFOMA ETD</v>
      </c>
      <c r="E581" s="360" t="str">
        <f ca="1">IFERROR(__xludf.DUMMYFUNCTION("""COMPUTED_VALUE"""),"EX.RATE/DATE/")</f>
        <v>EX.RATE/DATE/</v>
      </c>
      <c r="F581" s="360" t="str">
        <f ca="1">IFERROR(__xludf.DUMMYFUNCTION("""COMPUTED_VALUE"""),"SI CUT OFF USA")</f>
        <v>SI CUT OFF USA</v>
      </c>
      <c r="G581" s="360" t="str">
        <f ca="1">IFERROR(__xludf.DUMMYFUNCTION("""COMPUTED_VALUE"""),"SI CUT OFF")</f>
        <v>SI CUT OFF</v>
      </c>
      <c r="H581" s="360" t="str">
        <f ca="1">IFERROR(__xludf.DUMMYFUNCTION("""COMPUTED_VALUE"""),"B/L CFM USA")</f>
        <v>B/L CFM USA</v>
      </c>
      <c r="I581" s="362" t="str">
        <f ca="1">IFERROR(__xludf.DUMMYFUNCTION("""COMPUTED_VALUE"""),"B/L CFM CHINA,JP,VN")</f>
        <v>B/L CFM CHINA,JP,VN</v>
      </c>
      <c r="J581" s="362" t="str">
        <f ca="1">IFERROR(__xludf.DUMMYFUNCTION("""COMPUTED_VALUE"""),"B/L CONFIRM")</f>
        <v>B/L CONFIRM</v>
      </c>
      <c r="K581" s="362" t="str">
        <f ca="1">IFERROR(__xludf.DUMMYFUNCTION("""COMPUTED_VALUE"""),"ETD")</f>
        <v>ETD</v>
      </c>
      <c r="L581" s="360" t="str">
        <f ca="1">IFERROR(__xludf.DUMMYFUNCTION("""COMPUTED_VALUE"""),"ATD")</f>
        <v>ATD</v>
      </c>
      <c r="M581" s="360" t="str">
        <f ca="1">IFERROR(__xludf.DUMMYFUNCTION("""COMPUTED_VALUE"""),"B/L ISSUED DATE")</f>
        <v>B/L ISSUED DATE</v>
      </c>
    </row>
    <row r="582" spans="1:13" ht="18.75">
      <c r="A582" s="360"/>
      <c r="B582" s="360"/>
      <c r="C582" s="361"/>
      <c r="D582" s="360"/>
      <c r="E582" s="360" t="str">
        <f ca="1">IFERROR(__xludf.DUMMYFUNCTION("""COMPUTED_VALUE"""),"BANGKOK BANK")</f>
        <v>BANGKOK BANK</v>
      </c>
      <c r="F582" s="360" t="str">
        <f ca="1">IFERROR(__xludf.DUMMYFUNCTION("""COMPUTED_VALUE"""),"4 days before ETD")</f>
        <v>4 days before ETD</v>
      </c>
      <c r="G582" s="360"/>
      <c r="H582" s="360" t="str">
        <f ca="1">IFERROR(__xludf.DUMMYFUNCTION("""COMPUTED_VALUE"""),"3 days before ETD")</f>
        <v>3 days before ETD</v>
      </c>
      <c r="I582" s="362" t="str">
        <f ca="1">IFERROR(__xludf.DUMMYFUNCTION("""COMPUTED_VALUE"""),"Direct port CUT OFF")</f>
        <v>Direct port CUT OFF</v>
      </c>
      <c r="J582" s="362" t="str">
        <f ca="1">IFERROR(__xludf.DUMMYFUNCTION("""COMPUTED_VALUE"""),"Orther port CUT OFF")</f>
        <v>Orther port CUT OFF</v>
      </c>
      <c r="K582" s="362" t="str">
        <f ca="1">IFERROR(__xludf.DUMMYFUNCTION("""COMPUTED_VALUE"""),"ON BOARD DATE")</f>
        <v>ON BOARD DATE</v>
      </c>
      <c r="L582" s="360" t="str">
        <f ca="1">IFERROR(__xludf.DUMMYFUNCTION("""COMPUTED_VALUE"""),"วันเรือออกจริง")</f>
        <v>วันเรือออกจริง</v>
      </c>
      <c r="M582" s="360" t="str">
        <f ca="1">IFERROR(__xludf.DUMMYFUNCTION("""COMPUTED_VALUE"""),"วันปล่อยบีแอล")</f>
        <v>วันปล่อยบีแอล</v>
      </c>
    </row>
    <row r="583" spans="1:13" ht="18.75">
      <c r="A583" s="360"/>
      <c r="B583" s="360"/>
      <c r="C583" s="361"/>
      <c r="D583" s="360"/>
      <c r="E583" s="360"/>
      <c r="F583" s="360"/>
      <c r="G583" s="360" t="str">
        <f ca="1">IFERROR(__xludf.DUMMYFUNCTION("""COMPUTED_VALUE"""),"3 days before ETD")</f>
        <v>3 days before ETD</v>
      </c>
      <c r="H583" s="360"/>
      <c r="I583" s="362" t="str">
        <f ca="1">IFERROR(__xludf.DUMMYFUNCTION("""COMPUTED_VALUE"""),"2 days before ETD")</f>
        <v>2 days before ETD</v>
      </c>
      <c r="J583" s="362" t="str">
        <f ca="1">IFERROR(__xludf.DUMMYFUNCTION("""COMPUTED_VALUE"""),"1 days before ETD")</f>
        <v>1 days before ETD</v>
      </c>
      <c r="K583" s="362" t="str">
        <f ca="1">IFERROR(__xludf.DUMMYFUNCTION("""COMPUTED_VALUE"""),"SHOW ON B/L")</f>
        <v>SHOW ON B/L</v>
      </c>
      <c r="L583" s="360"/>
      <c r="M583" s="360"/>
    </row>
    <row r="584" spans="1:13" ht="18.75">
      <c r="A584" s="360" t="str">
        <f ca="1">IFERROR(__xludf.DUMMYFUNCTION("""COMPUTED_VALUE"""),"TRX")</f>
        <v>TRX</v>
      </c>
      <c r="B584" s="360" t="str">
        <f ca="1">IFERROR(__xludf.DUMMYFUNCTION("""COMPUTED_VALUE"""),"GREEN EARTH V.006N")</f>
        <v>GREEN EARTH V.006N</v>
      </c>
      <c r="C584" s="361" t="str">
        <f ca="1">IFERROR(__xludf.DUMMYFUNCTION("""COMPUTED_VALUE"""),"THBKK")</f>
        <v>THBKK</v>
      </c>
      <c r="D584" s="366">
        <f ca="1">IFERROR(__xludf.DUMMYFUNCTION("""COMPUTED_VALUE"""),45963.8125)</f>
        <v>45963.8125</v>
      </c>
      <c r="E584" s="360" t="str">
        <f ca="1">IFERROR(__xludf.DUMMYFUNCTION("""COMPUTED_VALUE"""),"33.90 07/02/2025")</f>
        <v>33.90 07/02/2025</v>
      </c>
      <c r="F584" s="360" t="str">
        <f ca="1">IFERROR(__xludf.DUMMYFUNCTION("""COMPUTED_VALUE"""),"14/02/2025 13:00")</f>
        <v>14/02/2025 13:00</v>
      </c>
      <c r="G584" s="360" t="str">
        <f ca="1">IFERROR(__xludf.DUMMYFUNCTION("""COMPUTED_VALUE"""),"14/02/2025 15:00")</f>
        <v>14/02/2025 15:00</v>
      </c>
      <c r="H584" s="360" t="str">
        <f ca="1">IFERROR(__xludf.DUMMYFUNCTION("""COMPUTED_VALUE"""),"14/02/2025 13:00")</f>
        <v>14/02/2025 13:00</v>
      </c>
      <c r="I584" s="362" t="str">
        <f ca="1">IFERROR(__xludf.DUMMYFUNCTION("""COMPUTED_VALUE"""),"14/02/2025 15:00")</f>
        <v>14/02/2025 15:00</v>
      </c>
      <c r="J584" s="362" t="str">
        <f ca="1">IFERROR(__xludf.DUMMYFUNCTION("""COMPUTED_VALUE"""),"17/02/2025 16:00")</f>
        <v>17/02/2025 16:00</v>
      </c>
      <c r="K584" s="362" t="str">
        <f ca="1">IFERROR(__xludf.DUMMYFUNCTION("""COMPUTED_VALUE"""),"18/02/2025 05:30")</f>
        <v>18/02/2025 05:30</v>
      </c>
      <c r="L584" s="360" t="str">
        <f ca="1">IFERROR(__xludf.DUMMYFUNCTION("""COMPUTED_VALUE"""),"18/02/2025  04:00")</f>
        <v>18/02/2025  04:00</v>
      </c>
      <c r="M584" s="360" t="str">
        <f ca="1">IFERROR(__xludf.DUMMYFUNCTION("""COMPUTED_VALUE"""),"18/02/2025 NOON")</f>
        <v>18/02/2025 NOON</v>
      </c>
    </row>
    <row r="585" spans="1:13" ht="18.75">
      <c r="A585" s="360"/>
      <c r="B585" s="360"/>
      <c r="C585" s="361" t="str">
        <f ca="1">IFERROR(__xludf.DUMMYFUNCTION("""COMPUTED_VALUE"""),"THLCB")</f>
        <v>THLCB</v>
      </c>
      <c r="D585" s="360" t="str">
        <f ca="1">IFERROR(__xludf.DUMMYFUNCTION("""COMPUTED_VALUE"""),"13/02/2025 09:00")</f>
        <v>13/02/2025 09:00</v>
      </c>
      <c r="E585" s="360"/>
      <c r="F585" s="360" t="str">
        <f ca="1">IFERROR(__xludf.DUMMYFUNCTION("""COMPUTED_VALUE"""),"14/02/2025 13:00")</f>
        <v>14/02/2025 13:00</v>
      </c>
      <c r="G585" s="360" t="str">
        <f ca="1">IFERROR(__xludf.DUMMYFUNCTION("""COMPUTED_VALUE"""),"14/02/2025 15:00")</f>
        <v>14/02/2025 15:00</v>
      </c>
      <c r="H585" s="360" t="str">
        <f ca="1">IFERROR(__xludf.DUMMYFUNCTION("""COMPUTED_VALUE"""),"14/02/2025 13:00")</f>
        <v>14/02/2025 13:00</v>
      </c>
      <c r="I585" s="362" t="str">
        <f ca="1">IFERROR(__xludf.DUMMYFUNCTION("""COMPUTED_VALUE"""),"17/02/2025 15:00")</f>
        <v>17/02/2025 15:00</v>
      </c>
      <c r="J585" s="362" t="str">
        <f ca="1">IFERROR(__xludf.DUMMYFUNCTION("""COMPUTED_VALUE"""),"18/02/2025 16:00")</f>
        <v>18/02/2025 16:00</v>
      </c>
      <c r="K585" s="362" t="str">
        <f ca="1">IFERROR(__xludf.DUMMYFUNCTION("""COMPUTED_VALUE"""),"19/02/2025 01:00")</f>
        <v>19/02/2025 01:00</v>
      </c>
      <c r="L585" s="360" t="str">
        <f ca="1">IFERROR(__xludf.DUMMYFUNCTION("""COMPUTED_VALUE"""),"19/02/2025  06:12")</f>
        <v>19/02/2025  06:12</v>
      </c>
      <c r="M585" s="360" t="str">
        <f ca="1">IFERROR(__xludf.DUMMYFUNCTION("""COMPUTED_VALUE"""),"19/02/2025 NOON")</f>
        <v>19/02/2025 NOON</v>
      </c>
    </row>
    <row r="586" spans="1:13" ht="18.75">
      <c r="A586" s="360" t="str">
        <f ca="1">IFERROR(__xludf.DUMMYFUNCTION("""COMPUTED_VALUE"""),"TRX")</f>
        <v>TRX</v>
      </c>
      <c r="B586" s="360" t="str">
        <f ca="1">IFERROR(__xludf.DUMMYFUNCTION("""COMPUTED_VALUE"""),"TS OSAKA V.25002N")</f>
        <v>TS OSAKA V.25002N</v>
      </c>
      <c r="C586" s="361" t="str">
        <f ca="1">IFERROR(__xludf.DUMMYFUNCTION("""COMPUTED_VALUE"""),"THBKK")</f>
        <v>THBKK</v>
      </c>
      <c r="D586" s="360" t="str">
        <f ca="1">IFERROR(__xludf.DUMMYFUNCTION("""COMPUTED_VALUE"""),"18/02/2025 19:30")</f>
        <v>18/02/2025 19:30</v>
      </c>
      <c r="E586" s="360" t="str">
        <f ca="1">IFERROR(__xludf.DUMMYFUNCTION("""COMPUTED_VALUE"""),"34.34 11/02/2025")</f>
        <v>34.34 11/02/2025</v>
      </c>
      <c r="F586" s="360" t="str">
        <f ca="1">IFERROR(__xludf.DUMMYFUNCTION("""COMPUTED_VALUE"""),"17/02/2025 13:00")</f>
        <v>17/02/2025 13:00</v>
      </c>
      <c r="G586" s="360" t="str">
        <f ca="1">IFERROR(__xludf.DUMMYFUNCTION("""COMPUTED_VALUE"""),"18/02/2025 15:00")</f>
        <v>18/02/2025 15:00</v>
      </c>
      <c r="H586" s="360" t="str">
        <f ca="1">IFERROR(__xludf.DUMMYFUNCTION("""COMPUTED_VALUE"""),"18/02/2025 13:00")</f>
        <v>18/02/2025 13:00</v>
      </c>
      <c r="I586" s="362" t="str">
        <f ca="1">IFERROR(__xludf.DUMMYFUNCTION("""COMPUTED_VALUE"""),"19/02/2025 15:00")</f>
        <v>19/02/2025 15:00</v>
      </c>
      <c r="J586" s="362" t="str">
        <f ca="1">IFERROR(__xludf.DUMMYFUNCTION("""COMPUTED_VALUE"""),"20/02/2025 16:00")</f>
        <v>20/02/2025 16:00</v>
      </c>
      <c r="K586" s="362" t="str">
        <f ca="1">IFERROR(__xludf.DUMMYFUNCTION("""COMPUTED_VALUE"""),"21/02/2025 20:00")</f>
        <v>21/02/2025 20:00</v>
      </c>
      <c r="L586" s="360" t="str">
        <f ca="1">IFERROR(__xludf.DUMMYFUNCTION("""COMPUTED_VALUE"""),"21/02/2025  20:00")</f>
        <v>21/02/2025  20:00</v>
      </c>
      <c r="M586" s="360" t="str">
        <f ca="1">IFERROR(__xludf.DUMMYFUNCTION("""COMPUTED_VALUE"""),"24/02/2025 NOON")</f>
        <v>24/02/2025 NOON</v>
      </c>
    </row>
    <row r="587" spans="1:13" ht="18.75">
      <c r="A587" s="360"/>
      <c r="B587" s="360"/>
      <c r="C587" s="361" t="str">
        <f ca="1">IFERROR(__xludf.DUMMYFUNCTION("""COMPUTED_VALUE"""),"THLCB")</f>
        <v>THLCB</v>
      </c>
      <c r="D587" s="360" t="str">
        <f ca="1">IFERROR(__xludf.DUMMYFUNCTION("""COMPUTED_VALUE"""),"20/02/2025 09:00")</f>
        <v>20/02/2025 09:00</v>
      </c>
      <c r="E587" s="360"/>
      <c r="F587" s="360" t="str">
        <f ca="1">IFERROR(__xludf.DUMMYFUNCTION("""COMPUTED_VALUE"""),"18/02/2025 13:00")</f>
        <v>18/02/2025 13:00</v>
      </c>
      <c r="G587" s="360" t="str">
        <f ca="1">IFERROR(__xludf.DUMMYFUNCTION("""COMPUTED_VALUE"""),"19/02/2025 15:00")</f>
        <v>19/02/2025 15:00</v>
      </c>
      <c r="H587" s="360" t="str">
        <f ca="1">IFERROR(__xludf.DUMMYFUNCTION("""COMPUTED_VALUE"""),"19/02/2025 13:00")</f>
        <v>19/02/2025 13:00</v>
      </c>
      <c r="I587" s="362" t="str">
        <f ca="1">IFERROR(__xludf.DUMMYFUNCTION("""COMPUTED_VALUE"""),"20/02/2025 15:00")</f>
        <v>20/02/2025 15:00</v>
      </c>
      <c r="J587" s="362" t="str">
        <f ca="1">IFERROR(__xludf.DUMMYFUNCTION("""COMPUTED_VALUE"""),"21/02/2025 16:00")</f>
        <v>21/02/2025 16:00</v>
      </c>
      <c r="K587" s="362" t="str">
        <f ca="1">IFERROR(__xludf.DUMMYFUNCTION("""COMPUTED_VALUE"""),"22/02/2025 21:00")</f>
        <v>22/02/2025 21:00</v>
      </c>
      <c r="L587" s="360" t="str">
        <f ca="1">IFERROR(__xludf.DUMMYFUNCTION("""COMPUTED_VALUE"""),"22/02/2025  17:00")</f>
        <v>22/02/2025  17:00</v>
      </c>
      <c r="M587" s="360" t="str">
        <f ca="1">IFERROR(__xludf.DUMMYFUNCTION("""COMPUTED_VALUE"""),"24/02/2025 NOON")</f>
        <v>24/02/2025 NOON</v>
      </c>
    </row>
    <row r="588" spans="1:13" ht="18.75">
      <c r="A588" s="360"/>
      <c r="B588" s="360"/>
      <c r="C588" s="361"/>
      <c r="D588" s="360"/>
      <c r="E588" s="360"/>
      <c r="F588" s="360"/>
      <c r="G588" s="360"/>
      <c r="H588" s="360"/>
      <c r="I588" s="362"/>
      <c r="J588" s="362"/>
      <c r="K588" s="362"/>
      <c r="L588" s="360"/>
      <c r="M588" s="360"/>
    </row>
    <row r="589" spans="1:13" ht="18.75">
      <c r="A589" s="360"/>
      <c r="B589" s="360" t="str">
        <f ca="1">IFERROR(__xludf.DUMMYFUNCTION("""COMPUTED_VALUE"""),"WEEK 07/2025")</f>
        <v>WEEK 07/2025</v>
      </c>
      <c r="C589" s="361" t="str">
        <f ca="1">IFERROR(__xludf.DUMMYFUNCTION("""COMPUTED_VALUE"""),"Holidays 12 FEB 2025 Makha Bucha day")</f>
        <v>Holidays 12 FEB 2025 Makha Bucha day</v>
      </c>
      <c r="D589" s="360"/>
      <c r="E589" s="360"/>
      <c r="F589" s="360"/>
      <c r="G589" s="360"/>
      <c r="H589" s="360"/>
      <c r="I589" s="362"/>
      <c r="J589" s="362"/>
      <c r="K589" s="362"/>
      <c r="L589" s="360"/>
      <c r="M589" s="360"/>
    </row>
    <row r="590" spans="1:13" ht="18.75">
      <c r="A590" s="360"/>
      <c r="B590" s="360"/>
      <c r="C590" s="361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590" s="360"/>
      <c r="E590" s="360"/>
      <c r="F590" s="360"/>
      <c r="G590" s="360"/>
      <c r="H590" s="360"/>
      <c r="I590" s="362"/>
      <c r="J590" s="362"/>
      <c r="K590" s="362"/>
      <c r="L590" s="360"/>
      <c r="M590" s="360"/>
    </row>
    <row r="591" spans="1:13" ht="18.75">
      <c r="A591" s="360" t="str">
        <f ca="1">IFERROR(__xludf.DUMMYFUNCTION("""COMPUTED_VALUE"""),"SERVICE")</f>
        <v>SERVICE</v>
      </c>
      <c r="B591" s="360" t="str">
        <f ca="1">IFERROR(__xludf.DUMMYFUNCTION("""COMPUTED_VALUE"""),"VESSEL NAME")</f>
        <v>VESSEL NAME</v>
      </c>
      <c r="C591" s="361" t="str">
        <f ca="1">IFERROR(__xludf.DUMMYFUNCTION("""COMPUTED_VALUE"""),"PORT")</f>
        <v>PORT</v>
      </c>
      <c r="D591" s="360" t="str">
        <f ca="1">IFERROR(__xludf.DUMMYFUNCTION("""COMPUTED_VALUE"""),"PERFOMA ETD")</f>
        <v>PERFOMA ETD</v>
      </c>
      <c r="E591" s="360" t="str">
        <f ca="1">IFERROR(__xludf.DUMMYFUNCTION("""COMPUTED_VALUE"""),"EX.RATE/DATE/")</f>
        <v>EX.RATE/DATE/</v>
      </c>
      <c r="F591" s="360" t="str">
        <f ca="1">IFERROR(__xludf.DUMMYFUNCTION("""COMPUTED_VALUE"""),"SI CUT OFF USA")</f>
        <v>SI CUT OFF USA</v>
      </c>
      <c r="G591" s="360" t="str">
        <f ca="1">IFERROR(__xludf.DUMMYFUNCTION("""COMPUTED_VALUE"""),"SI CUT OFF")</f>
        <v>SI CUT OFF</v>
      </c>
      <c r="H591" s="360" t="str">
        <f ca="1">IFERROR(__xludf.DUMMYFUNCTION("""COMPUTED_VALUE"""),"B/L CFM USA")</f>
        <v>B/L CFM USA</v>
      </c>
      <c r="I591" s="362" t="str">
        <f ca="1">IFERROR(__xludf.DUMMYFUNCTION("""COMPUTED_VALUE"""),"B/L CFM CHINA,JP,VN")</f>
        <v>B/L CFM CHINA,JP,VN</v>
      </c>
      <c r="J591" s="362" t="str">
        <f ca="1">IFERROR(__xludf.DUMMYFUNCTION("""COMPUTED_VALUE"""),"B/L CONFIRM")</f>
        <v>B/L CONFIRM</v>
      </c>
      <c r="K591" s="362" t="str">
        <f ca="1">IFERROR(__xludf.DUMMYFUNCTION("""COMPUTED_VALUE"""),"ETD")</f>
        <v>ETD</v>
      </c>
      <c r="L591" s="360" t="str">
        <f ca="1">IFERROR(__xludf.DUMMYFUNCTION("""COMPUTED_VALUE"""),"ATD")</f>
        <v>ATD</v>
      </c>
      <c r="M591" s="360" t="str">
        <f ca="1">IFERROR(__xludf.DUMMYFUNCTION("""COMPUTED_VALUE"""),"B/L ISSUED DATE")</f>
        <v>B/L ISSUED DATE</v>
      </c>
    </row>
    <row r="592" spans="1:13" ht="18.75">
      <c r="A592" s="360"/>
      <c r="B592" s="360"/>
      <c r="C592" s="361"/>
      <c r="D592" s="360"/>
      <c r="E592" s="360" t="str">
        <f ca="1">IFERROR(__xludf.DUMMYFUNCTION("""COMPUTED_VALUE"""),"BANGKOK BANK")</f>
        <v>BANGKOK BANK</v>
      </c>
      <c r="F592" s="360" t="str">
        <f ca="1">IFERROR(__xludf.DUMMYFUNCTION("""COMPUTED_VALUE"""),"4 days before ETD")</f>
        <v>4 days before ETD</v>
      </c>
      <c r="G592" s="360"/>
      <c r="H592" s="360" t="str">
        <f ca="1">IFERROR(__xludf.DUMMYFUNCTION("""COMPUTED_VALUE"""),"3 days before ETD")</f>
        <v>3 days before ETD</v>
      </c>
      <c r="I592" s="362" t="str">
        <f ca="1">IFERROR(__xludf.DUMMYFUNCTION("""COMPUTED_VALUE"""),"Direct port CUT OFF")</f>
        <v>Direct port CUT OFF</v>
      </c>
      <c r="J592" s="362" t="str">
        <f ca="1">IFERROR(__xludf.DUMMYFUNCTION("""COMPUTED_VALUE"""),"Orther port CUT OFF")</f>
        <v>Orther port CUT OFF</v>
      </c>
      <c r="K592" s="362" t="str">
        <f ca="1">IFERROR(__xludf.DUMMYFUNCTION("""COMPUTED_VALUE"""),"ON BOARD DATE")</f>
        <v>ON BOARD DATE</v>
      </c>
      <c r="L592" s="360" t="str">
        <f ca="1">IFERROR(__xludf.DUMMYFUNCTION("""COMPUTED_VALUE"""),"วันเรือออกจริง")</f>
        <v>วันเรือออกจริง</v>
      </c>
      <c r="M592" s="360" t="str">
        <f ca="1">IFERROR(__xludf.DUMMYFUNCTION("""COMPUTED_VALUE"""),"วันปล่อยบีแอล")</f>
        <v>วันปล่อยบีแอล</v>
      </c>
    </row>
    <row r="593" spans="1:13" ht="18.75">
      <c r="A593" s="360"/>
      <c r="B593" s="360"/>
      <c r="C593" s="361"/>
      <c r="D593" s="360"/>
      <c r="E593" s="360"/>
      <c r="F593" s="360"/>
      <c r="G593" s="360" t="str">
        <f ca="1">IFERROR(__xludf.DUMMYFUNCTION("""COMPUTED_VALUE"""),"3 days before ETD")</f>
        <v>3 days before ETD</v>
      </c>
      <c r="H593" s="360"/>
      <c r="I593" s="362" t="str">
        <f ca="1">IFERROR(__xludf.DUMMYFUNCTION("""COMPUTED_VALUE"""),"2 days before ETD")</f>
        <v>2 days before ETD</v>
      </c>
      <c r="J593" s="362" t="str">
        <f ca="1">IFERROR(__xludf.DUMMYFUNCTION("""COMPUTED_VALUE"""),"1 days before ETD")</f>
        <v>1 days before ETD</v>
      </c>
      <c r="K593" s="362" t="str">
        <f ca="1">IFERROR(__xludf.DUMMYFUNCTION("""COMPUTED_VALUE"""),"SHOW ON B/L")</f>
        <v>SHOW ON B/L</v>
      </c>
      <c r="L593" s="360"/>
      <c r="M593" s="360"/>
    </row>
    <row r="594" spans="1:13" ht="18.75">
      <c r="A594" s="360" t="str">
        <f ca="1">IFERROR(__xludf.DUMMYFUNCTION("""COMPUTED_VALUE"""),"TRX")</f>
        <v>TRX</v>
      </c>
      <c r="B594" s="360" t="str">
        <f ca="1">IFERROR(__xludf.DUMMYFUNCTION("""COMPUTED_VALUE"""),"TS MAWEI V.25003N")</f>
        <v>TS MAWEI V.25003N</v>
      </c>
      <c r="C594" s="361" t="str">
        <f ca="1">IFERROR(__xludf.DUMMYFUNCTION("""COMPUTED_VALUE"""),"THBKK")</f>
        <v>THBKK</v>
      </c>
      <c r="D594" s="366">
        <f ca="1">IFERROR(__xludf.DUMMYFUNCTION("""COMPUTED_VALUE"""),45749.8125)</f>
        <v>45749.8125</v>
      </c>
      <c r="E594" s="360" t="str">
        <f ca="1">IFERROR(__xludf.DUMMYFUNCTION("""COMPUTED_VALUE"""),"33.91 31/01/2025")</f>
        <v>33.91 31/01/2025</v>
      </c>
      <c r="F594" s="366">
        <f ca="1">IFERROR(__xludf.DUMMYFUNCTION("""COMPUTED_VALUE"""),45871.5416666666)</f>
        <v>45871.541666666599</v>
      </c>
      <c r="G594" s="366">
        <f ca="1">IFERROR(__xludf.DUMMYFUNCTION("""COMPUTED_VALUE"""),45902.625)</f>
        <v>45902.625</v>
      </c>
      <c r="H594" s="366">
        <f ca="1">IFERROR(__xludf.DUMMYFUNCTION("""COMPUTED_VALUE"""),45902.5416666666)</f>
        <v>45902.541666666599</v>
      </c>
      <c r="I594" s="369">
        <f ca="1">IFERROR(__xludf.DUMMYFUNCTION("""COMPUTED_VALUE"""),45932.625)</f>
        <v>45932.625</v>
      </c>
      <c r="J594" s="369">
        <f ca="1">IFERROR(__xludf.DUMMYFUNCTION("""COMPUTED_VALUE"""),45963.6666666666)</f>
        <v>45963.666666666599</v>
      </c>
      <c r="K594" s="362" t="str">
        <f ca="1">IFERROR(__xludf.DUMMYFUNCTION("""COMPUTED_VALUE"""),"13/2/2025  01:00")</f>
        <v>13/2/2025  01:00</v>
      </c>
      <c r="L594" s="360" t="str">
        <f ca="1">IFERROR(__xludf.DUMMYFUNCTION("""COMPUTED_VALUE"""),"13/02/2025  01:00")</f>
        <v>13/02/2025  01:00</v>
      </c>
      <c r="M594" s="360" t="str">
        <f ca="1">IFERROR(__xludf.DUMMYFUNCTION("""COMPUTED_VALUE"""),"13/02/2025  NOON")</f>
        <v>13/02/2025  NOON</v>
      </c>
    </row>
    <row r="595" spans="1:13" ht="18.75">
      <c r="A595" s="360"/>
      <c r="B595" s="360"/>
      <c r="C595" s="361" t="str">
        <f ca="1">IFERROR(__xludf.DUMMYFUNCTION("""COMPUTED_VALUE"""),"THLCB")</f>
        <v>THLCB</v>
      </c>
      <c r="D595" s="366">
        <f ca="1">IFERROR(__xludf.DUMMYFUNCTION("""COMPUTED_VALUE"""),45810.375)</f>
        <v>45810.375</v>
      </c>
      <c r="E595" s="360"/>
      <c r="F595" s="366">
        <f ca="1">IFERROR(__xludf.DUMMYFUNCTION("""COMPUTED_VALUE"""),45902.5416666666)</f>
        <v>45902.541666666599</v>
      </c>
      <c r="G595" s="366">
        <f ca="1">IFERROR(__xludf.DUMMYFUNCTION("""COMPUTED_VALUE"""),45932.625)</f>
        <v>45932.625</v>
      </c>
      <c r="H595" s="366">
        <f ca="1">IFERROR(__xludf.DUMMYFUNCTION("""COMPUTED_VALUE"""),45932.5416666666)</f>
        <v>45932.541666666599</v>
      </c>
      <c r="I595" s="369">
        <f ca="1">IFERROR(__xludf.DUMMYFUNCTION("""COMPUTED_VALUE"""),45963.625)</f>
        <v>45963.625</v>
      </c>
      <c r="J595" s="369">
        <f ca="1">IFERROR(__xludf.DUMMYFUNCTION("""COMPUTED_VALUE"""),45993.6666666666)</f>
        <v>45993.666666666599</v>
      </c>
      <c r="K595" s="362" t="str">
        <f ca="1">IFERROR(__xludf.DUMMYFUNCTION("""COMPUTED_VALUE"""),"13/02/2025 20:30")</f>
        <v>13/02/2025 20:30</v>
      </c>
      <c r="L595" s="360" t="str">
        <f ca="1">IFERROR(__xludf.DUMMYFUNCTION("""COMPUTED_VALUE"""),"14/02/2025  06:06")</f>
        <v>14/02/2025  06:06</v>
      </c>
      <c r="M595" s="360" t="str">
        <f ca="1">IFERROR(__xludf.DUMMYFUNCTION("""COMPUTED_VALUE"""),"14/02/2025 NOON")</f>
        <v>14/02/2025 NOON</v>
      </c>
    </row>
    <row r="596" spans="1:13" ht="18.75">
      <c r="A596" s="360" t="str">
        <f ca="1">IFERROR(__xludf.DUMMYFUNCTION("""COMPUTED_VALUE"""),"CHT")</f>
        <v>CHT</v>
      </c>
      <c r="B596" s="360" t="str">
        <f ca="1">IFERROR(__xludf.DUMMYFUNCTION("""COMPUTED_VALUE"""),"KMTC POHANG V.2501N")</f>
        <v>KMTC POHANG V.2501N</v>
      </c>
      <c r="C596" s="361" t="str">
        <f ca="1">IFERROR(__xludf.DUMMYFUNCTION("""COMPUTED_VALUE"""),"THBKK")</f>
        <v>THBKK</v>
      </c>
      <c r="D596" s="366">
        <f ca="1">IFERROR(__xludf.DUMMYFUNCTION("""COMPUTED_VALUE"""),45779.75)</f>
        <v>45779.75</v>
      </c>
      <c r="E596" s="360" t="str">
        <f ca="1">IFERROR(__xludf.DUMMYFUNCTION("""COMPUTED_VALUE"""),"34.11 04/02/2025")</f>
        <v>34.11 04/02/2025</v>
      </c>
      <c r="F596" s="366">
        <f ca="1">IFERROR(__xludf.DUMMYFUNCTION("""COMPUTED_VALUE"""),45902.5416666666)</f>
        <v>45902.541666666599</v>
      </c>
      <c r="G596" s="366">
        <f ca="1">IFERROR(__xludf.DUMMYFUNCTION("""COMPUTED_VALUE"""),45932.625)</f>
        <v>45932.625</v>
      </c>
      <c r="H596" s="366">
        <f ca="1">IFERROR(__xludf.DUMMYFUNCTION("""COMPUTED_VALUE"""),45932.5416666666)</f>
        <v>45932.541666666599</v>
      </c>
      <c r="I596" s="369">
        <f ca="1">IFERROR(__xludf.DUMMYFUNCTION("""COMPUTED_VALUE"""),45963.625)</f>
        <v>45963.625</v>
      </c>
      <c r="J596" s="369">
        <f ca="1">IFERROR(__xludf.DUMMYFUNCTION("""COMPUTED_VALUE"""),45963.6666666666)</f>
        <v>45963.666666666599</v>
      </c>
      <c r="K596" s="362" t="str">
        <f ca="1">IFERROR(__xludf.DUMMYFUNCTION("""COMPUTED_VALUE"""),"13/02/2025 09:30")</f>
        <v>13/02/2025 09:30</v>
      </c>
      <c r="L596" s="360" t="str">
        <f ca="1">IFERROR(__xludf.DUMMYFUNCTION("""COMPUTED_VALUE"""),"13/02/2025  05:00")</f>
        <v>13/02/2025  05:00</v>
      </c>
      <c r="M596" s="360" t="str">
        <f ca="1">IFERROR(__xludf.DUMMYFUNCTION("""COMPUTED_VALUE"""),"13/02/2025  NOON")</f>
        <v>13/02/2025  NOON</v>
      </c>
    </row>
    <row r="597" spans="1:13" ht="18.75">
      <c r="A597" s="360"/>
      <c r="B597" s="360"/>
      <c r="C597" s="361" t="str">
        <f ca="1">IFERROR(__xludf.DUMMYFUNCTION("""COMPUTED_VALUE"""),"THLCB")</f>
        <v>THLCB</v>
      </c>
      <c r="D597" s="366">
        <f ca="1">IFERROR(__xludf.DUMMYFUNCTION("""COMPUTED_VALUE"""),45810.5)</f>
        <v>45810.5</v>
      </c>
      <c r="E597" s="360"/>
      <c r="F597" s="366">
        <f ca="1">IFERROR(__xludf.DUMMYFUNCTION("""COMPUTED_VALUE"""),45902.5416666666)</f>
        <v>45902.541666666599</v>
      </c>
      <c r="G597" s="366">
        <f ca="1">IFERROR(__xludf.DUMMYFUNCTION("""COMPUTED_VALUE"""),45932.625)</f>
        <v>45932.625</v>
      </c>
      <c r="H597" s="366">
        <f ca="1">IFERROR(__xludf.DUMMYFUNCTION("""COMPUTED_VALUE"""),45932.5416666666)</f>
        <v>45932.541666666599</v>
      </c>
      <c r="I597" s="369">
        <f ca="1">IFERROR(__xludf.DUMMYFUNCTION("""COMPUTED_VALUE"""),45963.625)</f>
        <v>45963.625</v>
      </c>
      <c r="J597" s="362" t="str">
        <f ca="1">IFERROR(__xludf.DUMMYFUNCTION("""COMPUTED_VALUE"""),"13/2/2025 16:00:00")</f>
        <v>13/2/2025 16:00:00</v>
      </c>
      <c r="K597" s="362" t="str">
        <f ca="1">IFERROR(__xludf.DUMMYFUNCTION("""COMPUTED_VALUE"""),"14/02/2025 14:30")</f>
        <v>14/02/2025 14:30</v>
      </c>
      <c r="L597" s="360" t="str">
        <f ca="1">IFERROR(__xludf.DUMMYFUNCTION("""COMPUTED_VALUE"""),"14/02/2025  09:00")</f>
        <v>14/02/2025  09:00</v>
      </c>
      <c r="M597" s="360" t="str">
        <f ca="1">IFERROR(__xludf.DUMMYFUNCTION("""COMPUTED_VALUE"""),"14/02/2025 NOON")</f>
        <v>14/02/2025 NOON</v>
      </c>
    </row>
    <row r="598" spans="1:13" ht="18.75">
      <c r="A598" s="360" t="str">
        <f ca="1">IFERROR(__xludf.DUMMYFUNCTION("""COMPUTED_VALUE"""),"CVT")</f>
        <v>CVT</v>
      </c>
      <c r="B598" s="360" t="str">
        <f ca="1">IFERROR(__xludf.DUMMYFUNCTION("""COMPUTED_VALUE"""),"YM HARMONY V.417N")</f>
        <v>YM HARMONY V.417N</v>
      </c>
      <c r="C598" s="361" t="str">
        <f ca="1">IFERROR(__xludf.DUMMYFUNCTION("""COMPUTED_VALUE"""),"THBKK")</f>
        <v>THBKK</v>
      </c>
      <c r="D598" s="366" t="str">
        <f ca="1">IFERROR(__xludf.DUMMYFUNCTION("""COMPUTED_VALUE"""),"13/02/2025 08:00")</f>
        <v>13/02/2025 08:00</v>
      </c>
      <c r="E598" s="360" t="str">
        <f ca="1">IFERROR(__xludf.DUMMYFUNCTION("""COMPUTED_VALUE"""),"33.88 05/02/2025")</f>
        <v>33.88 05/02/2025</v>
      </c>
      <c r="F598" s="366">
        <f ca="1">IFERROR(__xludf.DUMMYFUNCTION("""COMPUTED_VALUE"""),45871.5416666666)</f>
        <v>45871.541666666599</v>
      </c>
      <c r="G598" s="366">
        <f ca="1">IFERROR(__xludf.DUMMYFUNCTION("""COMPUTED_VALUE"""),45902.625)</f>
        <v>45902.625</v>
      </c>
      <c r="H598" s="366">
        <f ca="1">IFERROR(__xludf.DUMMYFUNCTION("""COMPUTED_VALUE"""),45902.5416666666)</f>
        <v>45902.541666666599</v>
      </c>
      <c r="I598" s="369">
        <f ca="1">IFERROR(__xludf.DUMMYFUNCTION("""COMPUTED_VALUE"""),45932.625)</f>
        <v>45932.625</v>
      </c>
      <c r="J598" s="369">
        <f ca="1">IFERROR(__xludf.DUMMYFUNCTION("""COMPUTED_VALUE"""),45963.6666666666)</f>
        <v>45963.666666666599</v>
      </c>
      <c r="K598" s="369">
        <f ca="1">IFERROR(__xludf.DUMMYFUNCTION("""COMPUTED_VALUE"""),45993.6458333333)</f>
        <v>45993.645833333299</v>
      </c>
      <c r="L598" s="366">
        <f ca="1">IFERROR(__xludf.DUMMYFUNCTION("""COMPUTED_VALUE"""),45993.2083333333)</f>
        <v>45993.208333333299</v>
      </c>
      <c r="M598" s="360" t="str">
        <f ca="1">IFERROR(__xludf.DUMMYFUNCTION("""COMPUTED_VALUE"""),"13/02/2025 MORNING")</f>
        <v>13/02/2025 MORNING</v>
      </c>
    </row>
    <row r="599" spans="1:13" ht="18.75">
      <c r="A599" s="360"/>
      <c r="B599" s="360"/>
      <c r="C599" s="361" t="str">
        <f ca="1">IFERROR(__xludf.DUMMYFUNCTION("""COMPUTED_VALUE"""),"THLCB")</f>
        <v>THLCB</v>
      </c>
      <c r="D599" s="366" t="str">
        <f ca="1">IFERROR(__xludf.DUMMYFUNCTION("""COMPUTED_VALUE"""),"14/02/2025 04:00")</f>
        <v>14/02/2025 04:00</v>
      </c>
      <c r="E599" s="360"/>
      <c r="F599" s="366">
        <f ca="1">IFERROR(__xludf.DUMMYFUNCTION("""COMPUTED_VALUE"""),45902.5416666666)</f>
        <v>45902.541666666599</v>
      </c>
      <c r="G599" s="366">
        <f ca="1">IFERROR(__xludf.DUMMYFUNCTION("""COMPUTED_VALUE"""),45932.625)</f>
        <v>45932.625</v>
      </c>
      <c r="H599" s="366">
        <f ca="1">IFERROR(__xludf.DUMMYFUNCTION("""COMPUTED_VALUE"""),45932.5416666666)</f>
        <v>45932.541666666599</v>
      </c>
      <c r="I599" s="369">
        <f ca="1">IFERROR(__xludf.DUMMYFUNCTION("""COMPUTED_VALUE"""),45963.625)</f>
        <v>45963.625</v>
      </c>
      <c r="J599" s="362" t="str">
        <f ca="1">IFERROR(__xludf.DUMMYFUNCTION("""COMPUTED_VALUE"""),"13/02/2025 16:00")</f>
        <v>13/02/2025 16:00</v>
      </c>
      <c r="K599" s="362" t="str">
        <f ca="1">IFERROR(__xludf.DUMMYFUNCTION("""COMPUTED_VALUE"""),"13/02/2025 09:30")</f>
        <v>13/02/2025 09:30</v>
      </c>
      <c r="L599" s="360" t="str">
        <f ca="1">IFERROR(__xludf.DUMMYFUNCTION("""COMPUTED_VALUE"""),"13/02/2025  16:00")</f>
        <v>13/02/2025  16:00</v>
      </c>
      <c r="M599" s="360" t="str">
        <f ca="1">IFERROR(__xludf.DUMMYFUNCTION("""COMPUTED_VALUE"""),"14/02/2025 MORNING")</f>
        <v>14/02/2025 MORNING</v>
      </c>
    </row>
    <row r="600" spans="1:13" ht="18.75">
      <c r="A600" s="360"/>
      <c r="B600" s="360"/>
      <c r="C600" s="361"/>
      <c r="D600" s="360"/>
      <c r="E600" s="360"/>
      <c r="F600" s="360"/>
      <c r="G600" s="360"/>
      <c r="H600" s="360"/>
      <c r="I600" s="362"/>
      <c r="J600" s="362"/>
      <c r="K600" s="362"/>
      <c r="L600" s="360"/>
      <c r="M600" s="360"/>
    </row>
    <row r="601" spans="1:13" ht="18.75">
      <c r="A601" s="360"/>
      <c r="B601" s="360" t="str">
        <f ca="1">IFERROR(__xludf.DUMMYFUNCTION("""COMPUTED_VALUE"""),"WEEK 06/2025")</f>
        <v>WEEK 06/2025</v>
      </c>
      <c r="C601" s="361"/>
      <c r="D601" s="360"/>
      <c r="E601" s="360"/>
      <c r="F601" s="360"/>
      <c r="G601" s="360"/>
      <c r="H601" s="360"/>
      <c r="I601" s="362"/>
      <c r="J601" s="362"/>
      <c r="K601" s="362"/>
      <c r="L601" s="360"/>
      <c r="M601" s="360"/>
    </row>
    <row r="602" spans="1:13" ht="18.75">
      <c r="A602" s="360"/>
      <c r="B602" s="360"/>
      <c r="C602" s="361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602" s="360"/>
      <c r="E602" s="360"/>
      <c r="F602" s="360"/>
      <c r="G602" s="360"/>
      <c r="H602" s="360"/>
      <c r="I602" s="362"/>
      <c r="J602" s="362"/>
      <c r="K602" s="362"/>
      <c r="L602" s="360"/>
      <c r="M602" s="360"/>
    </row>
    <row r="603" spans="1:13" ht="18.75">
      <c r="A603" s="360" t="str">
        <f ca="1">IFERROR(__xludf.DUMMYFUNCTION("""COMPUTED_VALUE"""),"SERVICE")</f>
        <v>SERVICE</v>
      </c>
      <c r="B603" s="360" t="str">
        <f ca="1">IFERROR(__xludf.DUMMYFUNCTION("""COMPUTED_VALUE"""),"VESSEL NAME")</f>
        <v>VESSEL NAME</v>
      </c>
      <c r="C603" s="361" t="str">
        <f ca="1">IFERROR(__xludf.DUMMYFUNCTION("""COMPUTED_VALUE"""),"PORT")</f>
        <v>PORT</v>
      </c>
      <c r="D603" s="360" t="str">
        <f ca="1">IFERROR(__xludf.DUMMYFUNCTION("""COMPUTED_VALUE"""),"PERFOMA ETD")</f>
        <v>PERFOMA ETD</v>
      </c>
      <c r="E603" s="360" t="str">
        <f ca="1">IFERROR(__xludf.DUMMYFUNCTION("""COMPUTED_VALUE"""),"EX.RATE/DATE/")</f>
        <v>EX.RATE/DATE/</v>
      </c>
      <c r="F603" s="360" t="str">
        <f ca="1">IFERROR(__xludf.DUMMYFUNCTION("""COMPUTED_VALUE"""),"SI CUT OFF USA")</f>
        <v>SI CUT OFF USA</v>
      </c>
      <c r="G603" s="360" t="str">
        <f ca="1">IFERROR(__xludf.DUMMYFUNCTION("""COMPUTED_VALUE"""),"SI CUT OFF")</f>
        <v>SI CUT OFF</v>
      </c>
      <c r="H603" s="360" t="str">
        <f ca="1">IFERROR(__xludf.DUMMYFUNCTION("""COMPUTED_VALUE"""),"B/L CFM USA")</f>
        <v>B/L CFM USA</v>
      </c>
      <c r="I603" s="362" t="str">
        <f ca="1">IFERROR(__xludf.DUMMYFUNCTION("""COMPUTED_VALUE"""),"B/L CFM CHINA,JP,VN")</f>
        <v>B/L CFM CHINA,JP,VN</v>
      </c>
      <c r="J603" s="362" t="str">
        <f ca="1">IFERROR(__xludf.DUMMYFUNCTION("""COMPUTED_VALUE"""),"B/L CONFIRM")</f>
        <v>B/L CONFIRM</v>
      </c>
      <c r="K603" s="362" t="str">
        <f ca="1">IFERROR(__xludf.DUMMYFUNCTION("""COMPUTED_VALUE"""),"ETD")</f>
        <v>ETD</v>
      </c>
      <c r="L603" s="360" t="str">
        <f ca="1">IFERROR(__xludf.DUMMYFUNCTION("""COMPUTED_VALUE"""),"ATD")</f>
        <v>ATD</v>
      </c>
      <c r="M603" s="360" t="str">
        <f ca="1">IFERROR(__xludf.DUMMYFUNCTION("""COMPUTED_VALUE"""),"B/L ISSUED DATE")</f>
        <v>B/L ISSUED DATE</v>
      </c>
    </row>
    <row r="604" spans="1:13" ht="18.75">
      <c r="A604" s="360"/>
      <c r="B604" s="360"/>
      <c r="C604" s="361"/>
      <c r="D604" s="360"/>
      <c r="E604" s="360" t="str">
        <f ca="1">IFERROR(__xludf.DUMMYFUNCTION("""COMPUTED_VALUE"""),"BANGKOK BANK")</f>
        <v>BANGKOK BANK</v>
      </c>
      <c r="F604" s="360" t="str">
        <f ca="1">IFERROR(__xludf.DUMMYFUNCTION("""COMPUTED_VALUE"""),"4 days before ETD")</f>
        <v>4 days before ETD</v>
      </c>
      <c r="G604" s="360"/>
      <c r="H604" s="360" t="str">
        <f ca="1">IFERROR(__xludf.DUMMYFUNCTION("""COMPUTED_VALUE"""),"3 days before ETD")</f>
        <v>3 days before ETD</v>
      </c>
      <c r="I604" s="362" t="str">
        <f ca="1">IFERROR(__xludf.DUMMYFUNCTION("""COMPUTED_VALUE"""),"Direct port CUT OFF")</f>
        <v>Direct port CUT OFF</v>
      </c>
      <c r="J604" s="362" t="str">
        <f ca="1">IFERROR(__xludf.DUMMYFUNCTION("""COMPUTED_VALUE"""),"Orther port CUT OFF")</f>
        <v>Orther port CUT OFF</v>
      </c>
      <c r="K604" s="362" t="str">
        <f ca="1">IFERROR(__xludf.DUMMYFUNCTION("""COMPUTED_VALUE"""),"ON BOARD DATE")</f>
        <v>ON BOARD DATE</v>
      </c>
      <c r="L604" s="360" t="str">
        <f ca="1">IFERROR(__xludf.DUMMYFUNCTION("""COMPUTED_VALUE"""),"วันเรือออกจริง")</f>
        <v>วันเรือออกจริง</v>
      </c>
      <c r="M604" s="360" t="str">
        <f ca="1">IFERROR(__xludf.DUMMYFUNCTION("""COMPUTED_VALUE"""),"วันปล่อยบีแอล")</f>
        <v>วันปล่อยบีแอล</v>
      </c>
    </row>
    <row r="605" spans="1:13" ht="18.75">
      <c r="A605" s="360"/>
      <c r="B605" s="360"/>
      <c r="C605" s="361"/>
      <c r="D605" s="360"/>
      <c r="E605" s="360"/>
      <c r="F605" s="360"/>
      <c r="G605" s="360" t="str">
        <f ca="1">IFERROR(__xludf.DUMMYFUNCTION("""COMPUTED_VALUE"""),"3 days before ETD")</f>
        <v>3 days before ETD</v>
      </c>
      <c r="H605" s="360"/>
      <c r="I605" s="362" t="str">
        <f ca="1">IFERROR(__xludf.DUMMYFUNCTION("""COMPUTED_VALUE"""),"2 days before ETD")</f>
        <v>2 days before ETD</v>
      </c>
      <c r="J605" s="362" t="str">
        <f ca="1">IFERROR(__xludf.DUMMYFUNCTION("""COMPUTED_VALUE"""),"1 days before ETD")</f>
        <v>1 days before ETD</v>
      </c>
      <c r="K605" s="362" t="str">
        <f ca="1">IFERROR(__xludf.DUMMYFUNCTION("""COMPUTED_VALUE"""),"SHOW ON B/L")</f>
        <v>SHOW ON B/L</v>
      </c>
      <c r="L605" s="360"/>
      <c r="M605" s="360"/>
    </row>
    <row r="606" spans="1:13" ht="18.75">
      <c r="A606" s="360" t="str">
        <f ca="1">IFERROR(__xludf.DUMMYFUNCTION("""COMPUTED_VALUE"""),"CHT")</f>
        <v>CHT</v>
      </c>
      <c r="B606" s="360" t="str">
        <f ca="1">IFERROR(__xludf.DUMMYFUNCTION("""COMPUTED_VALUE"""),"TS TIANJIN V.25001N")</f>
        <v>TS TIANJIN V.25001N</v>
      </c>
      <c r="C606" s="361" t="str">
        <f ca="1">IFERROR(__xludf.DUMMYFUNCTION("""COMPUTED_VALUE"""),"THBKK")</f>
        <v>THBKK</v>
      </c>
      <c r="D606" s="360" t="str">
        <f ca="1">IFERROR(__xludf.DUMMYFUNCTION("""COMPUTED_VALUE"""),"29/01/2025 18:00")</f>
        <v>29/01/2025 18:00</v>
      </c>
      <c r="E606" s="360" t="str">
        <f ca="1">IFERROR(__xludf.DUMMYFUNCTION("""COMPUTED_VALUE"""),"34.18 28/01/2025")</f>
        <v>34.18 28/01/2025</v>
      </c>
      <c r="F606" s="360" t="str">
        <f ca="1">IFERROR(__xludf.DUMMYFUNCTION("""COMPUTED_VALUE"""),"31/01/2025 13:00")</f>
        <v>31/01/2025 13:00</v>
      </c>
      <c r="G606" s="360" t="str">
        <f ca="1">IFERROR(__xludf.DUMMYFUNCTION("""COMPUTED_VALUE"""),"31/01/2025 15:00")</f>
        <v>31/01/2025 15:00</v>
      </c>
      <c r="H606" s="366">
        <f ca="1">IFERROR(__xludf.DUMMYFUNCTION("""COMPUTED_VALUE"""),45718.5416666666)</f>
        <v>45718.541666666599</v>
      </c>
      <c r="I606" s="369">
        <f ca="1">IFERROR(__xludf.DUMMYFUNCTION("""COMPUTED_VALUE"""),45718.625)</f>
        <v>45718.625</v>
      </c>
      <c r="J606" s="369">
        <f ca="1">IFERROR(__xludf.DUMMYFUNCTION("""COMPUTED_VALUE"""),45749.6666666666)</f>
        <v>45749.666666666599</v>
      </c>
      <c r="K606" s="370">
        <f ca="1">IFERROR(__xludf.DUMMYFUNCTION("""COMPUTED_VALUE"""),45779.8333333333)</f>
        <v>45779.833333333299</v>
      </c>
      <c r="L606" s="373">
        <f ca="1">IFERROR(__xludf.DUMMYFUNCTION("""COMPUTED_VALUE"""),45779.8333333333)</f>
        <v>45779.833333333299</v>
      </c>
      <c r="M606" s="360" t="str">
        <f ca="1">IFERROR(__xludf.DUMMYFUNCTION("""COMPUTED_VALUE"""),"06/02/2025 MORNING")</f>
        <v>06/02/2025 MORNING</v>
      </c>
    </row>
    <row r="607" spans="1:13" ht="18.75">
      <c r="A607" s="360"/>
      <c r="B607" s="360"/>
      <c r="C607" s="361" t="str">
        <f ca="1">IFERROR(__xludf.DUMMYFUNCTION("""COMPUTED_VALUE"""),"THLCB")</f>
        <v>THLCB</v>
      </c>
      <c r="D607" s="360" t="str">
        <f ca="1">IFERROR(__xludf.DUMMYFUNCTION("""COMPUTED_VALUE"""),"30/01/2025 12:00")</f>
        <v>30/01/2025 12:00</v>
      </c>
      <c r="E607" s="360"/>
      <c r="F607" s="366">
        <f ca="1">IFERROR(__xludf.DUMMYFUNCTION("""COMPUTED_VALUE"""),45718.5416666666)</f>
        <v>45718.541666666599</v>
      </c>
      <c r="G607" s="366">
        <f ca="1">IFERROR(__xludf.DUMMYFUNCTION("""COMPUTED_VALUE"""),45749.625)</f>
        <v>45749.625</v>
      </c>
      <c r="H607" s="366">
        <f ca="1">IFERROR(__xludf.DUMMYFUNCTION("""COMPUTED_VALUE"""),45749.5416666666)</f>
        <v>45749.541666666599</v>
      </c>
      <c r="I607" s="369">
        <f ca="1">IFERROR(__xludf.DUMMYFUNCTION("""COMPUTED_VALUE"""),45779.625)</f>
        <v>45779.625</v>
      </c>
      <c r="J607" s="369">
        <f ca="1">IFERROR(__xludf.DUMMYFUNCTION("""COMPUTED_VALUE"""),45810.6666666666)</f>
        <v>45810.666666666599</v>
      </c>
      <c r="K607" s="370">
        <f ca="1">IFERROR(__xludf.DUMMYFUNCTION("""COMPUTED_VALUE"""),45840.5416666666)</f>
        <v>45840.541666666599</v>
      </c>
      <c r="L607" s="373">
        <f ca="1">IFERROR(__xludf.DUMMYFUNCTION("""COMPUTED_VALUE"""),45840.5416666666)</f>
        <v>45840.541666666599</v>
      </c>
      <c r="M607" s="360" t="str">
        <f ca="1">IFERROR(__xludf.DUMMYFUNCTION("""COMPUTED_VALUE"""),"07/02/2025 NOON")</f>
        <v>07/02/2025 NOON</v>
      </c>
    </row>
    <row r="608" spans="1:13" ht="18.75">
      <c r="A608" s="360" t="str">
        <f ca="1">IFERROR(__xludf.DUMMYFUNCTION("""COMPUTED_VALUE"""),"CVT")</f>
        <v>CVT</v>
      </c>
      <c r="B608" s="360" t="str">
        <f ca="1">IFERROR(__xludf.DUMMYFUNCTION("""COMPUTED_VALUE"""),"KMTC TAIPEIS V.2501N")</f>
        <v>KMTC TAIPEIS V.2501N</v>
      </c>
      <c r="C608" s="361" t="str">
        <f ca="1">IFERROR(__xludf.DUMMYFUNCTION("""COMPUTED_VALUE"""),"THBKK")</f>
        <v>THBKK</v>
      </c>
      <c r="D608" s="360" t="str">
        <f ca="1">IFERROR(__xludf.DUMMYFUNCTION("""COMPUTED_VALUE"""),"30/01/2025 08:00")</f>
        <v>30/01/2025 08:00</v>
      </c>
      <c r="E608" s="360" t="str">
        <f ca="1">IFERROR(__xludf.DUMMYFUNCTION("""COMPUTED_VALUE"""),"34.00 29/01/2025")</f>
        <v>34.00 29/01/2025</v>
      </c>
      <c r="F608" s="366">
        <f ca="1">IFERROR(__xludf.DUMMYFUNCTION("""COMPUTED_VALUE"""),45718.5416666666)</f>
        <v>45718.541666666599</v>
      </c>
      <c r="G608" s="366">
        <f ca="1">IFERROR(__xludf.DUMMYFUNCTION("""COMPUTED_VALUE"""),45749.625)</f>
        <v>45749.625</v>
      </c>
      <c r="H608" s="366">
        <f ca="1">IFERROR(__xludf.DUMMYFUNCTION("""COMPUTED_VALUE"""),45749.5416666666)</f>
        <v>45749.541666666599</v>
      </c>
      <c r="I608" s="369">
        <f ca="1">IFERROR(__xludf.DUMMYFUNCTION("""COMPUTED_VALUE"""),45779.625)</f>
        <v>45779.625</v>
      </c>
      <c r="J608" s="369">
        <f ca="1">IFERROR(__xludf.DUMMYFUNCTION("""COMPUTED_VALUE"""),45810.6666666666)</f>
        <v>45810.666666666599</v>
      </c>
      <c r="K608" s="370">
        <f ca="1">IFERROR(__xludf.DUMMYFUNCTION("""COMPUTED_VALUE"""),45840.625)</f>
        <v>45840.625</v>
      </c>
      <c r="L608" s="373">
        <f ca="1">IFERROR(__xludf.DUMMYFUNCTION("""COMPUTED_VALUE"""),45840.2916666666)</f>
        <v>45840.291666666599</v>
      </c>
      <c r="M608" s="360" t="str">
        <f ca="1">IFERROR(__xludf.DUMMYFUNCTION("""COMPUTED_VALUE"""),"07/02/2025 NOON")</f>
        <v>07/02/2025 NOON</v>
      </c>
    </row>
    <row r="609" spans="1:13" ht="18.75">
      <c r="A609" s="360"/>
      <c r="B609" s="360"/>
      <c r="C609" s="361" t="str">
        <f ca="1">IFERROR(__xludf.DUMMYFUNCTION("""COMPUTED_VALUE"""),"THLCB")</f>
        <v>THLCB</v>
      </c>
      <c r="D609" s="360" t="str">
        <f ca="1">IFERROR(__xludf.DUMMYFUNCTION("""COMPUTED_VALUE"""),"31/01/2025 04:00")</f>
        <v>31/01/2025 04:00</v>
      </c>
      <c r="E609" s="360"/>
      <c r="F609" s="366">
        <f ca="1">IFERROR(__xludf.DUMMYFUNCTION("""COMPUTED_VALUE"""),45718.5416666666)</f>
        <v>45718.541666666599</v>
      </c>
      <c r="G609" s="366">
        <f ca="1">IFERROR(__xludf.DUMMYFUNCTION("""COMPUTED_VALUE"""),45749.625)</f>
        <v>45749.625</v>
      </c>
      <c r="H609" s="366">
        <f ca="1">IFERROR(__xludf.DUMMYFUNCTION("""COMPUTED_VALUE"""),45749.5416666666)</f>
        <v>45749.541666666599</v>
      </c>
      <c r="I609" s="369">
        <f ca="1">IFERROR(__xludf.DUMMYFUNCTION("""COMPUTED_VALUE"""),45779.625)</f>
        <v>45779.625</v>
      </c>
      <c r="J609" s="369">
        <f ca="1">IFERROR(__xludf.DUMMYFUNCTION("""COMPUTED_VALUE"""),45810.6666666666)</f>
        <v>45810.666666666599</v>
      </c>
      <c r="K609" s="370">
        <f ca="1">IFERROR(__xludf.DUMMYFUNCTION("""COMPUTED_VALUE"""),45871.1666666666)</f>
        <v>45871.166666666599</v>
      </c>
      <c r="L609" s="373">
        <f ca="1">IFERROR(__xludf.DUMMYFUNCTION("""COMPUTED_VALUE"""),45871.9958333333)</f>
        <v>45871.995833333298</v>
      </c>
      <c r="M609" s="360" t="str">
        <f ca="1">IFERROR(__xludf.DUMMYFUNCTION("""COMPUTED_VALUE"""),"10/02/2025 MORNING")</f>
        <v>10/02/2025 MORNING</v>
      </c>
    </row>
    <row r="610" spans="1:13" ht="18.75">
      <c r="A610" s="360" t="str">
        <f ca="1">IFERROR(__xludf.DUMMYFUNCTION("""COMPUTED_VALUE"""),"CVT")</f>
        <v>CVT</v>
      </c>
      <c r="B610" s="360" t="str">
        <f ca="1">IFERROR(__xludf.DUMMYFUNCTION("""COMPUTED_VALUE"""),"TS QINGDAO 25002N")</f>
        <v>TS QINGDAO 25002N</v>
      </c>
      <c r="C610" s="361" t="str">
        <f ca="1">IFERROR(__xludf.DUMMYFUNCTION("""COMPUTED_VALUE"""),"THBKK")</f>
        <v>THBKK</v>
      </c>
      <c r="D610" s="366">
        <f ca="1">IFERROR(__xludf.DUMMYFUNCTION("""COMPUTED_VALUE"""),45810.3333333333)</f>
        <v>45810.333333333299</v>
      </c>
      <c r="E610" s="360" t="str">
        <f ca="1">IFERROR(__xludf.DUMMYFUNCTION("""COMPUTED_VALUE"""),"34.01 30/01/2025")</f>
        <v>34.01 30/01/2025</v>
      </c>
      <c r="F610" s="366">
        <f ca="1">IFERROR(__xludf.DUMMYFUNCTION("""COMPUTED_VALUE"""),45718.5416666666)</f>
        <v>45718.541666666599</v>
      </c>
      <c r="G610" s="366">
        <f ca="1">IFERROR(__xludf.DUMMYFUNCTION("""COMPUTED_VALUE"""),45749.625)</f>
        <v>45749.625</v>
      </c>
      <c r="H610" s="366">
        <f ca="1">IFERROR(__xludf.DUMMYFUNCTION("""COMPUTED_VALUE"""),45749.5416666666)</f>
        <v>45749.541666666599</v>
      </c>
      <c r="I610" s="369">
        <f ca="1">IFERROR(__xludf.DUMMYFUNCTION("""COMPUTED_VALUE"""),45779.625)</f>
        <v>45779.625</v>
      </c>
      <c r="J610" s="369">
        <f ca="1">IFERROR(__xludf.DUMMYFUNCTION("""COMPUTED_VALUE"""),45810.6666666666)</f>
        <v>45810.666666666599</v>
      </c>
      <c r="K610" s="370">
        <f ca="1">IFERROR(__xludf.DUMMYFUNCTION("""COMPUTED_VALUE"""),45871.1666666666)</f>
        <v>45871.166666666599</v>
      </c>
      <c r="L610" s="373">
        <f ca="1">IFERROR(__xludf.DUMMYFUNCTION("""COMPUTED_VALUE"""),45871.3333333333)</f>
        <v>45871.333333333299</v>
      </c>
      <c r="M610" s="360" t="str">
        <f ca="1">IFERROR(__xludf.DUMMYFUNCTION("""COMPUTED_VALUE"""),"10/02/2025 MORNING")</f>
        <v>10/02/2025 MORNING</v>
      </c>
    </row>
    <row r="611" spans="1:13" ht="18.75">
      <c r="A611" s="360"/>
      <c r="B611" s="360"/>
      <c r="C611" s="361" t="str">
        <f ca="1">IFERROR(__xludf.DUMMYFUNCTION("""COMPUTED_VALUE"""),"THLCB")</f>
        <v>THLCB</v>
      </c>
      <c r="D611" s="366">
        <f ca="1">IFERROR(__xludf.DUMMYFUNCTION("""COMPUTED_VALUE"""),45840.1666666666)</f>
        <v>45840.166666666599</v>
      </c>
      <c r="E611" s="360"/>
      <c r="F611" s="366">
        <f ca="1">IFERROR(__xludf.DUMMYFUNCTION("""COMPUTED_VALUE"""),45749.5416666666)</f>
        <v>45749.541666666599</v>
      </c>
      <c r="G611" s="366">
        <f ca="1">IFERROR(__xludf.DUMMYFUNCTION("""COMPUTED_VALUE"""),45779.625)</f>
        <v>45779.625</v>
      </c>
      <c r="H611" s="366">
        <f ca="1">IFERROR(__xludf.DUMMYFUNCTION("""COMPUTED_VALUE"""),45779.5416666666)</f>
        <v>45779.541666666599</v>
      </c>
      <c r="I611" s="369">
        <f ca="1">IFERROR(__xludf.DUMMYFUNCTION("""COMPUTED_VALUE"""),45810.625)</f>
        <v>45810.625</v>
      </c>
      <c r="J611" s="369">
        <f ca="1">IFERROR(__xludf.DUMMYFUNCTION("""COMPUTED_VALUE"""),45840.6666666666)</f>
        <v>45840.666666666599</v>
      </c>
      <c r="K611" s="370">
        <f ca="1">IFERROR(__xludf.DUMMYFUNCTION("""COMPUTED_VALUE"""),45932.2083333333)</f>
        <v>45932.208333333299</v>
      </c>
      <c r="L611" s="373">
        <f ca="1">IFERROR(__xludf.DUMMYFUNCTION("""COMPUTED_VALUE"""),45932.2083333333)</f>
        <v>45932.208333333299</v>
      </c>
      <c r="M611" s="360" t="str">
        <f ca="1">IFERROR(__xludf.DUMMYFUNCTION("""COMPUTED_VALUE"""),"10/02/2025 NOON")</f>
        <v>10/02/2025 NOON</v>
      </c>
    </row>
    <row r="612" spans="1:13" ht="18.75">
      <c r="A612" s="360"/>
      <c r="B612" s="360"/>
      <c r="C612" s="361"/>
      <c r="D612" s="360"/>
      <c r="E612" s="360"/>
      <c r="F612" s="360"/>
      <c r="G612" s="360"/>
      <c r="H612" s="360"/>
      <c r="I612" s="362"/>
      <c r="J612" s="362"/>
      <c r="K612" s="362"/>
      <c r="L612" s="360"/>
      <c r="M612" s="360"/>
    </row>
    <row r="613" spans="1:13" ht="18.75">
      <c r="A613" s="360"/>
      <c r="B613" s="360" t="str">
        <f ca="1">IFERROR(__xludf.DUMMYFUNCTION("""COMPUTED_VALUE"""),"WEEK 05/2025")</f>
        <v>WEEK 05/2025</v>
      </c>
      <c r="C613" s="361"/>
      <c r="D613" s="360"/>
      <c r="E613" s="360"/>
      <c r="F613" s="360"/>
      <c r="G613" s="360"/>
      <c r="H613" s="360"/>
      <c r="I613" s="362"/>
      <c r="J613" s="362"/>
      <c r="K613" s="362"/>
      <c r="L613" s="360"/>
      <c r="M613" s="360"/>
    </row>
    <row r="614" spans="1:13" ht="18.75">
      <c r="A614" s="360"/>
      <c r="B614" s="360"/>
      <c r="C614" s="361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614" s="360"/>
      <c r="E614" s="360"/>
      <c r="F614" s="360"/>
      <c r="G614" s="360"/>
      <c r="H614" s="360"/>
      <c r="I614" s="362"/>
      <c r="J614" s="362"/>
      <c r="K614" s="362"/>
      <c r="L614" s="360"/>
      <c r="M614" s="360"/>
    </row>
    <row r="615" spans="1:13" ht="18.75">
      <c r="A615" s="360" t="str">
        <f ca="1">IFERROR(__xludf.DUMMYFUNCTION("""COMPUTED_VALUE"""),"SERVICE")</f>
        <v>SERVICE</v>
      </c>
      <c r="B615" s="360" t="str">
        <f ca="1">IFERROR(__xludf.DUMMYFUNCTION("""COMPUTED_VALUE"""),"VESSEL NAME")</f>
        <v>VESSEL NAME</v>
      </c>
      <c r="C615" s="361" t="str">
        <f ca="1">IFERROR(__xludf.DUMMYFUNCTION("""COMPUTED_VALUE"""),"PORT")</f>
        <v>PORT</v>
      </c>
      <c r="D615" s="360" t="str">
        <f ca="1">IFERROR(__xludf.DUMMYFUNCTION("""COMPUTED_VALUE"""),"PERFOMA ETD")</f>
        <v>PERFOMA ETD</v>
      </c>
      <c r="E615" s="360" t="str">
        <f ca="1">IFERROR(__xludf.DUMMYFUNCTION("""COMPUTED_VALUE"""),"EX.RATE/DATE/")</f>
        <v>EX.RATE/DATE/</v>
      </c>
      <c r="F615" s="360" t="str">
        <f ca="1">IFERROR(__xludf.DUMMYFUNCTION("""COMPUTED_VALUE"""),"SI CUT OFF USA")</f>
        <v>SI CUT OFF USA</v>
      </c>
      <c r="G615" s="360" t="str">
        <f ca="1">IFERROR(__xludf.DUMMYFUNCTION("""COMPUTED_VALUE"""),"SI CUT OFF")</f>
        <v>SI CUT OFF</v>
      </c>
      <c r="H615" s="360" t="str">
        <f ca="1">IFERROR(__xludf.DUMMYFUNCTION("""COMPUTED_VALUE"""),"B/L CFM USA")</f>
        <v>B/L CFM USA</v>
      </c>
      <c r="I615" s="362" t="str">
        <f ca="1">IFERROR(__xludf.DUMMYFUNCTION("""COMPUTED_VALUE"""),"B/L CFM CHINA,JP,VN")</f>
        <v>B/L CFM CHINA,JP,VN</v>
      </c>
      <c r="J615" s="362" t="str">
        <f ca="1">IFERROR(__xludf.DUMMYFUNCTION("""COMPUTED_VALUE"""),"B/L CONFIRM")</f>
        <v>B/L CONFIRM</v>
      </c>
      <c r="K615" s="362" t="str">
        <f ca="1">IFERROR(__xludf.DUMMYFUNCTION("""COMPUTED_VALUE"""),"ETD")</f>
        <v>ETD</v>
      </c>
      <c r="L615" s="360" t="str">
        <f ca="1">IFERROR(__xludf.DUMMYFUNCTION("""COMPUTED_VALUE"""),"ATD")</f>
        <v>ATD</v>
      </c>
      <c r="M615" s="360" t="str">
        <f ca="1">IFERROR(__xludf.DUMMYFUNCTION("""COMPUTED_VALUE"""),"B/L ISSUED DATE")</f>
        <v>B/L ISSUED DATE</v>
      </c>
    </row>
    <row r="616" spans="1:13" ht="18.75">
      <c r="A616" s="360"/>
      <c r="B616" s="360"/>
      <c r="C616" s="361"/>
      <c r="D616" s="360"/>
      <c r="E616" s="360" t="str">
        <f ca="1">IFERROR(__xludf.DUMMYFUNCTION("""COMPUTED_VALUE"""),"BANGKOK BANK")</f>
        <v>BANGKOK BANK</v>
      </c>
      <c r="F616" s="360" t="str">
        <f ca="1">IFERROR(__xludf.DUMMYFUNCTION("""COMPUTED_VALUE"""),"4 days before ETD")</f>
        <v>4 days before ETD</v>
      </c>
      <c r="G616" s="360"/>
      <c r="H616" s="360" t="str">
        <f ca="1">IFERROR(__xludf.DUMMYFUNCTION("""COMPUTED_VALUE"""),"3 days before ETD")</f>
        <v>3 days before ETD</v>
      </c>
      <c r="I616" s="362" t="str">
        <f ca="1">IFERROR(__xludf.DUMMYFUNCTION("""COMPUTED_VALUE"""),"Direct port CUT OFF")</f>
        <v>Direct port CUT OFF</v>
      </c>
      <c r="J616" s="362" t="str">
        <f ca="1">IFERROR(__xludf.DUMMYFUNCTION("""COMPUTED_VALUE"""),"Orther port CUT OFF")</f>
        <v>Orther port CUT OFF</v>
      </c>
      <c r="K616" s="362" t="str">
        <f ca="1">IFERROR(__xludf.DUMMYFUNCTION("""COMPUTED_VALUE"""),"ON BOARD DATE")</f>
        <v>ON BOARD DATE</v>
      </c>
      <c r="L616" s="360" t="str">
        <f ca="1">IFERROR(__xludf.DUMMYFUNCTION("""COMPUTED_VALUE"""),"วันเรือออกจริง")</f>
        <v>วันเรือออกจริง</v>
      </c>
      <c r="M616" s="360" t="str">
        <f ca="1">IFERROR(__xludf.DUMMYFUNCTION("""COMPUTED_VALUE"""),"วันปล่อยบีแอล")</f>
        <v>วันปล่อยบีแอล</v>
      </c>
    </row>
    <row r="617" spans="1:13" ht="18.75">
      <c r="A617" s="360"/>
      <c r="B617" s="360"/>
      <c r="C617" s="361"/>
      <c r="D617" s="360"/>
      <c r="E617" s="360"/>
      <c r="F617" s="360"/>
      <c r="G617" s="360" t="str">
        <f ca="1">IFERROR(__xludf.DUMMYFUNCTION("""COMPUTED_VALUE"""),"3 days before ETD")</f>
        <v>3 days before ETD</v>
      </c>
      <c r="H617" s="360"/>
      <c r="I617" s="362" t="str">
        <f ca="1">IFERROR(__xludf.DUMMYFUNCTION("""COMPUTED_VALUE"""),"2 days before ETD")</f>
        <v>2 days before ETD</v>
      </c>
      <c r="J617" s="362" t="str">
        <f ca="1">IFERROR(__xludf.DUMMYFUNCTION("""COMPUTED_VALUE"""),"1 days before ETD")</f>
        <v>1 days before ETD</v>
      </c>
      <c r="K617" s="362" t="str">
        <f ca="1">IFERROR(__xludf.DUMMYFUNCTION("""COMPUTED_VALUE"""),"SHOW ON B/L")</f>
        <v>SHOW ON B/L</v>
      </c>
      <c r="L617" s="360"/>
      <c r="M617" s="360"/>
    </row>
    <row r="618" spans="1:13" ht="18.75">
      <c r="A618" s="360" t="str">
        <f ca="1">IFERROR(__xludf.DUMMYFUNCTION("""COMPUTED_VALUE"""),"TRX")</f>
        <v>TRX</v>
      </c>
      <c r="B618" s="360" t="str">
        <f ca="1">IFERROR(__xludf.DUMMYFUNCTION("""COMPUTED_VALUE"""),"GREEN EARTH V.005N")</f>
        <v>GREEN EARTH V.005N</v>
      </c>
      <c r="C618" s="361" t="str">
        <f ca="1">IFERROR(__xludf.DUMMYFUNCTION("""COMPUTED_VALUE"""),"THBKK")</f>
        <v>THBKK</v>
      </c>
      <c r="D618" s="373" t="str">
        <f ca="1">IFERROR(__xludf.DUMMYFUNCTION("""COMPUTED_VALUE"""),"28/01/2025 19:30")</f>
        <v>28/01/2025 19:30</v>
      </c>
      <c r="E618" s="360" t="str">
        <f ca="1">IFERROR(__xludf.DUMMYFUNCTION("""COMPUTED_VALUE"""),"34.21 23/01/2025")</f>
        <v>34.21 23/01/2025</v>
      </c>
      <c r="F618" s="360" t="str">
        <f ca="1">IFERROR(__xludf.DUMMYFUNCTION("""COMPUTED_VALUE"""),"28/01/2025 13:00")</f>
        <v>28/01/2025 13:00</v>
      </c>
      <c r="G618" s="360" t="str">
        <f ca="1">IFERROR(__xludf.DUMMYFUNCTION("""COMPUTED_VALUE"""),"29/01/2025 15:00")</f>
        <v>29/01/2025 15:00</v>
      </c>
      <c r="H618" s="360" t="str">
        <f ca="1">IFERROR(__xludf.DUMMYFUNCTION("""COMPUTED_VALUE"""),"29/01/2025 13:00")</f>
        <v>29/01/2025 13:00</v>
      </c>
      <c r="I618" s="362" t="str">
        <f ca="1">IFERROR(__xludf.DUMMYFUNCTION("""COMPUTED_VALUE"""),"30/01/2025 15:00")</f>
        <v>30/01/2025 15:00</v>
      </c>
      <c r="J618" s="362" t="str">
        <f ca="1">IFERROR(__xludf.DUMMYFUNCTION("""COMPUTED_VALUE"""),"31/01/2025 16:00")</f>
        <v>31/01/2025 16:00</v>
      </c>
      <c r="K618" s="369">
        <f ca="1">IFERROR(__xludf.DUMMYFUNCTION("""COMPUTED_VALUE"""),45690.6666666666)</f>
        <v>45690.666666666599</v>
      </c>
      <c r="L618" s="366">
        <f ca="1">IFERROR(__xludf.DUMMYFUNCTION("""COMPUTED_VALUE"""),45690.2083333333)</f>
        <v>45690.208333333299</v>
      </c>
      <c r="M618" s="360" t="str">
        <f ca="1">IFERROR(__xludf.DUMMYFUNCTION("""COMPUTED_VALUE"""),"03/02/2025 MORNING")</f>
        <v>03/02/2025 MORNING</v>
      </c>
    </row>
    <row r="619" spans="1:13" ht="18.75">
      <c r="A619" s="360"/>
      <c r="B619" s="360"/>
      <c r="C619" s="361" t="str">
        <f ca="1">IFERROR(__xludf.DUMMYFUNCTION("""COMPUTED_VALUE"""),"THLCB")</f>
        <v>THLCB</v>
      </c>
      <c r="D619" s="373" t="str">
        <f ca="1">IFERROR(__xludf.DUMMYFUNCTION("""COMPUTED_VALUE"""),"30/01/2025 09:00")</f>
        <v>30/01/2025 09:00</v>
      </c>
      <c r="E619" s="360"/>
      <c r="F619" s="360" t="str">
        <f ca="1">IFERROR(__xludf.DUMMYFUNCTION("""COMPUTED_VALUE"""),"28/01/2025 13:00")</f>
        <v>28/01/2025 13:00</v>
      </c>
      <c r="G619" s="360" t="str">
        <f ca="1">IFERROR(__xludf.DUMMYFUNCTION("""COMPUTED_VALUE"""),"29/01/2025 15:00")</f>
        <v>29/01/2025 15:00</v>
      </c>
      <c r="H619" s="360" t="str">
        <f ca="1">IFERROR(__xludf.DUMMYFUNCTION("""COMPUTED_VALUE"""),"29/01/2025 13:00")</f>
        <v>29/01/2025 13:00</v>
      </c>
      <c r="I619" s="362" t="str">
        <f ca="1">IFERROR(__xludf.DUMMYFUNCTION("""COMPUTED_VALUE"""),"30/01/2025 15:00")</f>
        <v>30/01/2025 15:00</v>
      </c>
      <c r="J619" s="362" t="str">
        <f ca="1">IFERROR(__xludf.DUMMYFUNCTION("""COMPUTED_VALUE"""),"31/01/2025 16:00")</f>
        <v>31/01/2025 16:00</v>
      </c>
      <c r="K619" s="369">
        <f ca="1">IFERROR(__xludf.DUMMYFUNCTION("""COMPUTED_VALUE"""),45690.9166666666)</f>
        <v>45690.916666666599</v>
      </c>
      <c r="L619" s="366">
        <f ca="1">IFERROR(__xludf.DUMMYFUNCTION("""COMPUTED_VALUE"""),45718.6541666666)</f>
        <v>45718.654166666602</v>
      </c>
      <c r="M619" s="360" t="str">
        <f ca="1">IFERROR(__xludf.DUMMYFUNCTION("""COMPUTED_VALUE"""),"04/02/2025 MORNING")</f>
        <v>04/02/2025 MORNING</v>
      </c>
    </row>
    <row r="620" spans="1:13" ht="18.75">
      <c r="A620" s="360" t="str">
        <f ca="1">IFERROR(__xludf.DUMMYFUNCTION("""COMPUTED_VALUE"""),"CHT")</f>
        <v>CHT</v>
      </c>
      <c r="B620" s="360" t="str">
        <f ca="1">IFERROR(__xludf.DUMMYFUNCTION("""COMPUTED_VALUE"""),"SAWASDEE RIGEL V.2501N")</f>
        <v>SAWASDEE RIGEL V.2501N</v>
      </c>
      <c r="C620" s="361" t="str">
        <f ca="1">IFERROR(__xludf.DUMMYFUNCTION("""COMPUTED_VALUE"""),"THBKK")</f>
        <v>THBKK</v>
      </c>
      <c r="D620" s="373" t="str">
        <f ca="1">IFERROR(__xludf.DUMMYFUNCTION("""COMPUTED_VALUE"""),"15/01/2025 18:00")</f>
        <v>15/01/2025 18:00</v>
      </c>
      <c r="E620" s="360" t="str">
        <f ca="1">IFERROR(__xludf.DUMMYFUNCTION("""COMPUTED_VALUE"""),"34.31 21/01/2025")</f>
        <v>34.31 21/01/2025</v>
      </c>
      <c r="F620" s="360" t="str">
        <f ca="1">IFERROR(__xludf.DUMMYFUNCTION("""COMPUTED_VALUE"""),"27/01/2025 13:00")</f>
        <v>27/01/2025 13:00</v>
      </c>
      <c r="G620" s="360" t="str">
        <f ca="1">IFERROR(__xludf.DUMMYFUNCTION("""COMPUTED_VALUE"""),"27/01/2025 15:00")</f>
        <v>27/01/2025 15:00</v>
      </c>
      <c r="H620" s="360" t="str">
        <f ca="1">IFERROR(__xludf.DUMMYFUNCTION("""COMPUTED_VALUE"""),"27/01/2025 13:00")</f>
        <v>27/01/2025 13:00</v>
      </c>
      <c r="I620" s="362" t="str">
        <f ca="1">IFERROR(__xludf.DUMMYFUNCTION("""COMPUTED_VALUE"""),"28/01/2025 15:00")</f>
        <v>28/01/2025 15:00</v>
      </c>
      <c r="J620" s="362" t="str">
        <f ca="1">IFERROR(__xludf.DUMMYFUNCTION("""COMPUTED_VALUE"""),"29/01/2025 16:00")</f>
        <v>29/01/2025 16:00</v>
      </c>
      <c r="K620" s="362" t="str">
        <f ca="1">IFERROR(__xludf.DUMMYFUNCTION("""COMPUTED_VALUE"""),"30/01/2025 13:00")</f>
        <v>30/01/2025 13:00</v>
      </c>
      <c r="L620" s="360" t="str">
        <f ca="1">IFERROR(__xludf.DUMMYFUNCTION("""COMPUTED_VALUE"""),"30/01/2025  13:00")</f>
        <v>30/01/2025  13:00</v>
      </c>
      <c r="M620" s="360" t="str">
        <f ca="1">IFERROR(__xludf.DUMMYFUNCTION("""COMPUTED_VALUE"""),"31/01/2025 MORNING")</f>
        <v>31/01/2025 MORNING</v>
      </c>
    </row>
    <row r="621" spans="1:13" ht="18.75">
      <c r="A621" s="360"/>
      <c r="B621" s="360"/>
      <c r="C621" s="361" t="str">
        <f ca="1">IFERROR(__xludf.DUMMYFUNCTION("""COMPUTED_VALUE"""),"THLCB")</f>
        <v>THLCB</v>
      </c>
      <c r="D621" s="373" t="str">
        <f ca="1">IFERROR(__xludf.DUMMYFUNCTION("""COMPUTED_VALUE"""),"16/01/2025 12:00")</f>
        <v>16/01/2025 12:00</v>
      </c>
      <c r="E621" s="360"/>
      <c r="F621" s="360" t="str">
        <f ca="1">IFERROR(__xludf.DUMMYFUNCTION("""COMPUTED_VALUE"""),"27/01/2025 13:00")</f>
        <v>27/01/2025 13:00</v>
      </c>
      <c r="G621" s="360" t="str">
        <f ca="1">IFERROR(__xludf.DUMMYFUNCTION("""COMPUTED_VALUE"""),"28/01/2025 15:00")</f>
        <v>28/01/2025 15:00</v>
      </c>
      <c r="H621" s="360" t="str">
        <f ca="1">IFERROR(__xludf.DUMMYFUNCTION("""COMPUTED_VALUE"""),"28/01/2025 13:00")</f>
        <v>28/01/2025 13:00</v>
      </c>
      <c r="I621" s="362" t="str">
        <f ca="1">IFERROR(__xludf.DUMMYFUNCTION("""COMPUTED_VALUE"""),"29/01/2025 15:00")</f>
        <v>29/01/2025 15:00</v>
      </c>
      <c r="J621" s="362" t="str">
        <f ca="1">IFERROR(__xludf.DUMMYFUNCTION("""COMPUTED_VALUE"""),"30/01/2025 16:00")</f>
        <v>30/01/2025 16:00</v>
      </c>
      <c r="K621" s="362" t="str">
        <f ca="1">IFERROR(__xludf.DUMMYFUNCTION("""COMPUTED_VALUE"""),"31/01/2025 10:00")</f>
        <v>31/01/2025 10:00</v>
      </c>
      <c r="L621" s="360" t="str">
        <f ca="1">IFERROR(__xludf.DUMMYFUNCTION("""COMPUTED_VALUE"""),"31/01/2025  09:00")</f>
        <v>31/01/2025  09:00</v>
      </c>
      <c r="M621" s="360" t="str">
        <f ca="1">IFERROR(__xludf.DUMMYFUNCTION("""COMPUTED_VALUE"""),"31/01/2025 NOON")</f>
        <v>31/01/2025 NOON</v>
      </c>
    </row>
    <row r="622" spans="1:13" ht="18.75">
      <c r="A622" s="360"/>
      <c r="B622" s="360" t="str">
        <f ca="1">IFERROR(__xludf.DUMMYFUNCTION("""COMPUTED_VALUE"""),"WEEK 04/2025")</f>
        <v>WEEK 04/2025</v>
      </c>
      <c r="C622" s="361"/>
      <c r="D622" s="360"/>
      <c r="E622" s="360"/>
      <c r="F622" s="360"/>
      <c r="G622" s="360"/>
      <c r="H622" s="360"/>
      <c r="I622" s="362"/>
      <c r="J622" s="362"/>
      <c r="K622" s="362"/>
      <c r="L622" s="360"/>
      <c r="M622" s="360"/>
    </row>
    <row r="623" spans="1:13" ht="18.75">
      <c r="A623" s="360"/>
      <c r="B623" s="360"/>
      <c r="C623" s="361"/>
      <c r="D623" s="360"/>
      <c r="E623" s="360"/>
      <c r="F623" s="360"/>
      <c r="G623" s="360"/>
      <c r="H623" s="360"/>
      <c r="I623" s="362"/>
      <c r="J623" s="362"/>
      <c r="K623" s="362"/>
      <c r="L623" s="360"/>
      <c r="M623" s="360"/>
    </row>
    <row r="624" spans="1:13" ht="18.75">
      <c r="A624" s="360"/>
      <c r="B624" s="360"/>
      <c r="C624" s="361" t="str">
        <f ca="1">IFERROR(__xludf.DUMMYFUNCTION("""COMPUTED_VALUE"""),"TS CONTAINER LINES PTE. LTD. C/O TS CONTAINER LINES (THAILAND) CO., LTD. (HEAD OFFICE)")</f>
        <v>TS CONTAINER LINES PTE. LTD. C/O TS CONTAINER LINES (THAILAND) CO., LTD. (HEAD OFFICE)</v>
      </c>
      <c r="D624" s="360"/>
      <c r="E624" s="360"/>
      <c r="F624" s="360"/>
      <c r="G624" s="360"/>
      <c r="H624" s="360"/>
      <c r="I624" s="362"/>
      <c r="J624" s="362"/>
      <c r="K624" s="362"/>
      <c r="L624" s="360"/>
      <c r="M624" s="360"/>
    </row>
    <row r="625" spans="1:13" ht="18.75">
      <c r="A625" s="360" t="str">
        <f ca="1">IFERROR(__xludf.DUMMYFUNCTION("""COMPUTED_VALUE"""),"SERVICE")</f>
        <v>SERVICE</v>
      </c>
      <c r="B625" s="360" t="str">
        <f ca="1">IFERROR(__xludf.DUMMYFUNCTION("""COMPUTED_VALUE"""),"VESSEL NAME")</f>
        <v>VESSEL NAME</v>
      </c>
      <c r="C625" s="361" t="str">
        <f ca="1">IFERROR(__xludf.DUMMYFUNCTION("""COMPUTED_VALUE"""),"PORT")</f>
        <v>PORT</v>
      </c>
      <c r="D625" s="360" t="str">
        <f ca="1">IFERROR(__xludf.DUMMYFUNCTION("""COMPUTED_VALUE"""),"PERFOMA ETD")</f>
        <v>PERFOMA ETD</v>
      </c>
      <c r="E625" s="360" t="str">
        <f ca="1">IFERROR(__xludf.DUMMYFUNCTION("""COMPUTED_VALUE"""),"EX.RATE/DATE/")</f>
        <v>EX.RATE/DATE/</v>
      </c>
      <c r="F625" s="360" t="str">
        <f ca="1">IFERROR(__xludf.DUMMYFUNCTION("""COMPUTED_VALUE"""),"SI CUT OFF USA")</f>
        <v>SI CUT OFF USA</v>
      </c>
      <c r="G625" s="360" t="str">
        <f ca="1">IFERROR(__xludf.DUMMYFUNCTION("""COMPUTED_VALUE"""),"SI CUT OFF")</f>
        <v>SI CUT OFF</v>
      </c>
      <c r="H625" s="360" t="str">
        <f ca="1">IFERROR(__xludf.DUMMYFUNCTION("""COMPUTED_VALUE"""),"B/L CFM USA")</f>
        <v>B/L CFM USA</v>
      </c>
      <c r="I625" s="362" t="str">
        <f ca="1">IFERROR(__xludf.DUMMYFUNCTION("""COMPUTED_VALUE"""),"B/L CFM CHINA,JP,VN")</f>
        <v>B/L CFM CHINA,JP,VN</v>
      </c>
      <c r="J625" s="362" t="str">
        <f ca="1">IFERROR(__xludf.DUMMYFUNCTION("""COMPUTED_VALUE"""),"B/L CONFIRM")</f>
        <v>B/L CONFIRM</v>
      </c>
      <c r="K625" s="362" t="str">
        <f ca="1">IFERROR(__xludf.DUMMYFUNCTION("""COMPUTED_VALUE"""),"ETD")</f>
        <v>ETD</v>
      </c>
      <c r="L625" s="360" t="str">
        <f ca="1">IFERROR(__xludf.DUMMYFUNCTION("""COMPUTED_VALUE"""),"ATD")</f>
        <v>ATD</v>
      </c>
      <c r="M625" s="360" t="str">
        <f ca="1">IFERROR(__xludf.DUMMYFUNCTION("""COMPUTED_VALUE"""),"B/L ISSUED DATE")</f>
        <v>B/L ISSUED DATE</v>
      </c>
    </row>
    <row r="626" spans="1:13" ht="18.75">
      <c r="A626" s="360"/>
      <c r="B626" s="360"/>
      <c r="C626" s="361"/>
      <c r="D626" s="360"/>
      <c r="E626" s="360" t="str">
        <f ca="1">IFERROR(__xludf.DUMMYFUNCTION("""COMPUTED_VALUE"""),"BANGKOK BANK")</f>
        <v>BANGKOK BANK</v>
      </c>
      <c r="F626" s="360" t="str">
        <f ca="1">IFERROR(__xludf.DUMMYFUNCTION("""COMPUTED_VALUE"""),"4 days before ETD")</f>
        <v>4 days before ETD</v>
      </c>
      <c r="G626" s="360"/>
      <c r="H626" s="360" t="str">
        <f ca="1">IFERROR(__xludf.DUMMYFUNCTION("""COMPUTED_VALUE"""),"3 days before ETD")</f>
        <v>3 days before ETD</v>
      </c>
      <c r="I626" s="362" t="str">
        <f ca="1">IFERROR(__xludf.DUMMYFUNCTION("""COMPUTED_VALUE"""),"Direct port CUT OFF")</f>
        <v>Direct port CUT OFF</v>
      </c>
      <c r="J626" s="362" t="str">
        <f ca="1">IFERROR(__xludf.DUMMYFUNCTION("""COMPUTED_VALUE"""),"Orther port CUT OFF")</f>
        <v>Orther port CUT OFF</v>
      </c>
      <c r="K626" s="362" t="str">
        <f ca="1">IFERROR(__xludf.DUMMYFUNCTION("""COMPUTED_VALUE"""),"ON BOARD DATE")</f>
        <v>ON BOARD DATE</v>
      </c>
      <c r="L626" s="360" t="str">
        <f ca="1">IFERROR(__xludf.DUMMYFUNCTION("""COMPUTED_VALUE"""),"วันเรือออกจริง")</f>
        <v>วันเรือออกจริง</v>
      </c>
      <c r="M626" s="360" t="str">
        <f ca="1">IFERROR(__xludf.DUMMYFUNCTION("""COMPUTED_VALUE"""),"วันปล่อยบีแอล")</f>
        <v>วันปล่อยบีแอล</v>
      </c>
    </row>
    <row r="627" spans="1:13" ht="18.75">
      <c r="A627" s="360"/>
      <c r="B627" s="360"/>
      <c r="C627" s="361"/>
      <c r="D627" s="360"/>
      <c r="E627" s="360"/>
      <c r="F627" s="360"/>
      <c r="G627" s="360" t="str">
        <f ca="1">IFERROR(__xludf.DUMMYFUNCTION("""COMPUTED_VALUE"""),"3 days before ETD")</f>
        <v>3 days before ETD</v>
      </c>
      <c r="H627" s="360"/>
      <c r="I627" s="362" t="str">
        <f ca="1">IFERROR(__xludf.DUMMYFUNCTION("""COMPUTED_VALUE"""),"2 days before ETD")</f>
        <v>2 days before ETD</v>
      </c>
      <c r="J627" s="362" t="str">
        <f ca="1">IFERROR(__xludf.DUMMYFUNCTION("""COMPUTED_VALUE"""),"1 days before ETD")</f>
        <v>1 days before ETD</v>
      </c>
      <c r="K627" s="362" t="str">
        <f ca="1">IFERROR(__xludf.DUMMYFUNCTION("""COMPUTED_VALUE"""),"SHOW ON B/L")</f>
        <v>SHOW ON B/L</v>
      </c>
      <c r="L627" s="360"/>
      <c r="M627" s="360"/>
    </row>
    <row r="628" spans="1:13" ht="18.75">
      <c r="A628" s="360" t="str">
        <f ca="1">IFERROR(__xludf.DUMMYFUNCTION("""COMPUTED_VALUE"""),"TRX")</f>
        <v>TRX</v>
      </c>
      <c r="B628" s="360" t="str">
        <f ca="1">IFERROR(__xludf.DUMMYFUNCTION("""COMPUTED_VALUE"""),"TS MAWEI V.25002N")</f>
        <v>TS MAWEI V.25002N</v>
      </c>
      <c r="C628" s="361" t="str">
        <f ca="1">IFERROR(__xludf.DUMMYFUNCTION("""COMPUTED_VALUE"""),"THBKK")</f>
        <v>THBKK</v>
      </c>
      <c r="D628" s="373" t="str">
        <f ca="1">IFERROR(__xludf.DUMMYFUNCTION("""COMPUTED_VALUE"""),"21/01/2025 19:30")</f>
        <v>21/01/2025 19:30</v>
      </c>
      <c r="E628" s="360" t="str">
        <f ca="1">IFERROR(__xludf.DUMMYFUNCTION("""COMPUTED_VALUE"""),"34.71 17/01/2025")</f>
        <v>34.71 17/01/2025</v>
      </c>
      <c r="F628" s="360" t="str">
        <f ca="1">IFERROR(__xludf.DUMMYFUNCTION("""COMPUTED_VALUE"""),"22/01/2025 13:00")</f>
        <v>22/01/2025 13:00</v>
      </c>
      <c r="G628" s="360" t="str">
        <f ca="1">IFERROR(__xludf.DUMMYFUNCTION("""COMPUTED_VALUE"""),"23/01/2025 15:00")</f>
        <v>23/01/2025 15:00</v>
      </c>
      <c r="H628" s="360" t="str">
        <f ca="1">IFERROR(__xludf.DUMMYFUNCTION("""COMPUTED_VALUE"""),"23/01/2025 13:00")</f>
        <v>23/01/2025 13:00</v>
      </c>
      <c r="I628" s="362" t="str">
        <f ca="1">IFERROR(__xludf.DUMMYFUNCTION("""COMPUTED_VALUE"""),"24/01/2025 15:00")</f>
        <v>24/01/2025 15:00</v>
      </c>
      <c r="J628" s="362" t="str">
        <f ca="1">IFERROR(__xludf.DUMMYFUNCTION("""COMPUTED_VALUE"""),"27/01/2025 16:00")</f>
        <v>27/01/2025 16:00</v>
      </c>
      <c r="K628" s="362" t="str">
        <f ca="1">IFERROR(__xludf.DUMMYFUNCTION("""COMPUTED_VALUE"""),"28/01/2025 02:00")</f>
        <v>28/01/2025 02:00</v>
      </c>
      <c r="L628" s="360" t="str">
        <f ca="1">IFERROR(__xludf.DUMMYFUNCTION("""COMPUTED_VALUE"""),"28/01/2025  01:00")</f>
        <v>28/01/2025  01:00</v>
      </c>
      <c r="M628" s="360" t="str">
        <f ca="1">IFERROR(__xludf.DUMMYFUNCTION("""COMPUTED_VALUE"""),"28/01/2025 NOON")</f>
        <v>28/01/2025 NOON</v>
      </c>
    </row>
    <row r="629" spans="1:13" ht="18.75">
      <c r="A629" s="360"/>
      <c r="B629" s="360"/>
      <c r="C629" s="361" t="str">
        <f ca="1">IFERROR(__xludf.DUMMYFUNCTION("""COMPUTED_VALUE"""),"THLCB")</f>
        <v>THLCB</v>
      </c>
      <c r="D629" s="373" t="str">
        <f ca="1">IFERROR(__xludf.DUMMYFUNCTION("""COMPUTED_VALUE"""),"22/01/2025 09:00")</f>
        <v>22/01/2025 09:00</v>
      </c>
      <c r="E629" s="360"/>
      <c r="F629" s="360" t="str">
        <f ca="1">IFERROR(__xludf.DUMMYFUNCTION("""COMPUTED_VALUE"""),"22/01/2025 13:00")</f>
        <v>22/01/2025 13:00</v>
      </c>
      <c r="G629" s="360" t="str">
        <f ca="1">IFERROR(__xludf.DUMMYFUNCTION("""COMPUTED_VALUE"""),"23/01/2025 15:00")</f>
        <v>23/01/2025 15:00</v>
      </c>
      <c r="H629" s="360" t="str">
        <f ca="1">IFERROR(__xludf.DUMMYFUNCTION("""COMPUTED_VALUE"""),"23/01/2025 13:00")</f>
        <v>23/01/2025 13:00</v>
      </c>
      <c r="I629" s="362" t="str">
        <f ca="1">IFERROR(__xludf.DUMMYFUNCTION("""COMPUTED_VALUE"""),"24/01/2025 15:00")</f>
        <v>24/01/2025 15:00</v>
      </c>
      <c r="J629" s="362" t="str">
        <f ca="1">IFERROR(__xludf.DUMMYFUNCTION("""COMPUTED_VALUE"""),"27/01/2025 16:00")</f>
        <v>27/01/2025 16:00</v>
      </c>
      <c r="K629" s="362" t="str">
        <f ca="1">IFERROR(__xludf.DUMMYFUNCTION("""COMPUTED_VALUE"""),"28/01/2025 20:00")</f>
        <v>28/01/2025 20:00</v>
      </c>
      <c r="L629" s="360" t="str">
        <f ca="1">IFERROR(__xludf.DUMMYFUNCTION("""COMPUTED_VALUE"""),"28/01/2025  17:00")</f>
        <v>28/01/2025  17:00</v>
      </c>
      <c r="M629" s="360" t="str">
        <f ca="1">IFERROR(__xludf.DUMMYFUNCTION("""COMPUTED_VALUE"""),"29/01/2025 MORNING")</f>
        <v>29/01/2025 MORNING</v>
      </c>
    </row>
    <row r="630" spans="1:13" ht="18.75">
      <c r="A630" s="360" t="str">
        <f ca="1">IFERROR(__xludf.DUMMYFUNCTION("""COMPUTED_VALUE"""),"CVT")</f>
        <v>CVT</v>
      </c>
      <c r="B630" s="360" t="str">
        <f ca="1">IFERROR(__xludf.DUMMYFUNCTION("""COMPUTED_VALUE"""),"TS QINGDAO V.25001N")</f>
        <v>TS QINGDAO V.25001N</v>
      </c>
      <c r="C630" s="361" t="str">
        <f ca="1">IFERROR(__xludf.DUMMYFUNCTION("""COMPUTED_VALUE"""),"THBKK")</f>
        <v>THBKK</v>
      </c>
      <c r="D630" s="373" t="str">
        <f ca="1">IFERROR(__xludf.DUMMYFUNCTION("""COMPUTED_VALUE"""),"16/01/2025 08:00")</f>
        <v>16/01/2025 08:00</v>
      </c>
      <c r="E630" s="360" t="str">
        <f ca="1">IFERROR(__xludf.DUMMYFUNCTION("""COMPUTED_VALUE"""),"35.03 13/01/2025")</f>
        <v>35.03 13/01/2025</v>
      </c>
      <c r="F630" s="360" t="str">
        <f ca="1">IFERROR(__xludf.DUMMYFUNCTION("""COMPUTED_VALUE"""),"16/01/2025 13:00")</f>
        <v>16/01/2025 13:00</v>
      </c>
      <c r="G630" s="360" t="str">
        <f ca="1">IFERROR(__xludf.DUMMYFUNCTION("""COMPUTED_VALUE"""),"17/01/2025 15:00")</f>
        <v>17/01/2025 15:00</v>
      </c>
      <c r="H630" s="360" t="str">
        <f ca="1">IFERROR(__xludf.DUMMYFUNCTION("""COMPUTED_VALUE"""),"17/01/2024 13:00")</f>
        <v>17/01/2024 13:00</v>
      </c>
      <c r="I630" s="362" t="str">
        <f ca="1">IFERROR(__xludf.DUMMYFUNCTION("""COMPUTED_VALUE"""),"17/01/2025 15:00")</f>
        <v>17/01/2025 15:00</v>
      </c>
      <c r="J630" s="362" t="str">
        <f ca="1">IFERROR(__xludf.DUMMYFUNCTION("""COMPUTED_VALUE"""),"17/01/2025 16:00")</f>
        <v>17/01/2025 16:00</v>
      </c>
      <c r="K630" s="362" t="str">
        <f ca="1">IFERROR(__xludf.DUMMYFUNCTION("""COMPUTED_VALUE"""),"20/01/2025 08:00")</f>
        <v>20/01/2025 08:00</v>
      </c>
      <c r="L630" s="360" t="str">
        <f ca="1">IFERROR(__xludf.DUMMYFUNCTION("""COMPUTED_VALUE"""),"20/01/2025 05:00")</f>
        <v>20/01/2025 05:00</v>
      </c>
      <c r="M630" s="360" t="str">
        <f ca="1">IFERROR(__xludf.DUMMYFUNCTION("""COMPUTED_VALUE"""),"20/01/2025 NOON")</f>
        <v>20/01/2025 NOON</v>
      </c>
    </row>
    <row r="631" spans="1:13" ht="18.75">
      <c r="A631" s="360"/>
      <c r="B631" s="360"/>
      <c r="C631" s="361" t="str">
        <f ca="1">IFERROR(__xludf.DUMMYFUNCTION("""COMPUTED_VALUE"""),"THLCB")</f>
        <v>THLCB</v>
      </c>
      <c r="D631" s="373" t="str">
        <f ca="1">IFERROR(__xludf.DUMMYFUNCTION("""COMPUTED_VALUE"""),"17/01/2025 04:00")</f>
        <v>17/01/2025 04:00</v>
      </c>
      <c r="E631" s="360"/>
      <c r="F631" s="360" t="str">
        <f ca="1">IFERROR(__xludf.DUMMYFUNCTION("""COMPUTED_VALUE"""),"17/01/2024 13:00")</f>
        <v>17/01/2024 13:00</v>
      </c>
      <c r="G631" s="360" t="str">
        <f ca="1">IFERROR(__xludf.DUMMYFUNCTION("""COMPUTED_VALUE"""),"17/01/2025 15:00")</f>
        <v>17/01/2025 15:00</v>
      </c>
      <c r="H631" s="360" t="str">
        <f ca="1">IFERROR(__xludf.DUMMYFUNCTION("""COMPUTED_VALUE"""),"17/01/2024 13:00")</f>
        <v>17/01/2024 13:00</v>
      </c>
      <c r="I631" s="362" t="str">
        <f ca="1">IFERROR(__xludf.DUMMYFUNCTION("""COMPUTED_VALUE"""),"17/01/2025 15:00")</f>
        <v>17/01/2025 15:00</v>
      </c>
      <c r="J631" s="362" t="str">
        <f ca="1">IFERROR(__xludf.DUMMYFUNCTION("""COMPUTED_VALUE"""),"20/01/2025 16:00")</f>
        <v>20/01/2025 16:00</v>
      </c>
      <c r="K631" s="362" t="str">
        <f ca="1">IFERROR(__xludf.DUMMYFUNCTION("""COMPUTED_VALUE"""),"21/01/2025 23:10")</f>
        <v>21/01/2025 23:10</v>
      </c>
      <c r="L631" s="360" t="str">
        <f ca="1">IFERROR(__xludf.DUMMYFUNCTION("""COMPUTED_VALUE"""),"22/01/2025  01:00")</f>
        <v>22/01/2025  01:00</v>
      </c>
      <c r="M631" s="360" t="str">
        <f ca="1">IFERROR(__xludf.DUMMYFUNCTION("""COMPUTED_VALUE"""),"22/01/2025 MORNING")</f>
        <v>22/01/2025 MORNING</v>
      </c>
    </row>
    <row r="632" spans="1:13" ht="18.75">
      <c r="A632" s="360" t="str">
        <f ca="1">IFERROR(__xludf.DUMMYFUNCTION("""COMPUTED_VALUE"""),"CVT")</f>
        <v>CVT</v>
      </c>
      <c r="B632" s="360" t="str">
        <f ca="1">IFERROR(__xludf.DUMMYFUNCTION("""COMPUTED_VALUE"""),"YM HARMONY V.416N")</f>
        <v>YM HARMONY V.416N</v>
      </c>
      <c r="C632" s="361" t="str">
        <f ca="1">IFERROR(__xludf.DUMMYFUNCTION("""COMPUTED_VALUE"""),"THBKK")</f>
        <v>THBKK</v>
      </c>
      <c r="D632" s="373" t="str">
        <f ca="1">IFERROR(__xludf.DUMMYFUNCTION("""COMPUTED_VALUE"""),"23/01/2025 08:00")</f>
        <v>23/01/2025 08:00</v>
      </c>
      <c r="E632" s="360" t="str">
        <f ca="1">IFERROR(__xludf.DUMMYFUNCTION("""COMPUTED_VALUE"""),"34.97 15/01/2025")</f>
        <v>34.97 15/01/2025</v>
      </c>
      <c r="F632" s="360" t="str">
        <f ca="1">IFERROR(__xludf.DUMMYFUNCTION("""COMPUTED_VALUE"""),"17/01/2025 13:00")</f>
        <v>17/01/2025 13:00</v>
      </c>
      <c r="G632" s="360" t="str">
        <f ca="1">IFERROR(__xludf.DUMMYFUNCTION("""COMPUTED_VALUE"""),"18/01/2025 15:00")</f>
        <v>18/01/2025 15:00</v>
      </c>
      <c r="H632" s="360" t="str">
        <f ca="1">IFERROR(__xludf.DUMMYFUNCTION("""COMPUTED_VALUE"""),"18/01/2025 13:00")</f>
        <v>18/01/2025 13:00</v>
      </c>
      <c r="I632" s="362" t="str">
        <f ca="1">IFERROR(__xludf.DUMMYFUNCTION("""COMPUTED_VALUE"""),"20/01/2025 15:00")</f>
        <v>20/01/2025 15:00</v>
      </c>
      <c r="J632" s="362" t="str">
        <f ca="1">IFERROR(__xludf.DUMMYFUNCTION("""COMPUTED_VALUE"""),"21/01/2025 16:00")</f>
        <v>21/01/2025 16:00</v>
      </c>
      <c r="K632" s="362" t="str">
        <f ca="1">IFERROR(__xludf.DUMMYFUNCTION("""COMPUTED_VALUE"""),"22/01/2025 08:00")</f>
        <v>22/01/2025 08:00</v>
      </c>
      <c r="L632" s="360" t="str">
        <f ca="1">IFERROR(__xludf.DUMMYFUNCTION("""COMPUTED_VALUE"""),"22/01/2025  18:00")</f>
        <v>22/01/2025  18:00</v>
      </c>
      <c r="M632" s="360" t="str">
        <f ca="1">IFERROR(__xludf.DUMMYFUNCTION("""COMPUTED_VALUE"""),"23/01/2025 MORNING")</f>
        <v>23/01/2025 MORNING</v>
      </c>
    </row>
    <row r="633" spans="1:13" ht="18.75">
      <c r="A633" s="360"/>
      <c r="B633" s="360"/>
      <c r="C633" s="361" t="str">
        <f ca="1">IFERROR(__xludf.DUMMYFUNCTION("""COMPUTED_VALUE"""),"THLCB")</f>
        <v>THLCB</v>
      </c>
      <c r="D633" s="373" t="str">
        <f ca="1">IFERROR(__xludf.DUMMYFUNCTION("""COMPUTED_VALUE"""),"24/01/2025 04:00")</f>
        <v>24/01/2025 04:00</v>
      </c>
      <c r="E633" s="360"/>
      <c r="F633" s="360" t="str">
        <f ca="1">IFERROR(__xludf.DUMMYFUNCTION("""COMPUTED_VALUE"""),"17/01/2025 13:00")</f>
        <v>17/01/2025 13:00</v>
      </c>
      <c r="G633" s="360" t="str">
        <f ca="1">IFERROR(__xludf.DUMMYFUNCTION("""COMPUTED_VALUE"""),"20/01/2025 15:00")</f>
        <v>20/01/2025 15:00</v>
      </c>
      <c r="H633" s="360" t="str">
        <f ca="1">IFERROR(__xludf.DUMMYFUNCTION("""COMPUTED_VALUE"""),"20/01/2025 13:00")</f>
        <v>20/01/2025 13:00</v>
      </c>
      <c r="I633" s="362" t="str">
        <f ca="1">IFERROR(__xludf.DUMMYFUNCTION("""COMPUTED_VALUE"""),"21/01/2025 15:00")</f>
        <v>21/01/2025 15:00</v>
      </c>
      <c r="J633" s="362" t="str">
        <f ca="1">IFERROR(__xludf.DUMMYFUNCTION("""COMPUTED_VALUE"""),"22/01/2025 16:00")</f>
        <v>22/01/2025 16:00</v>
      </c>
      <c r="K633" s="362" t="str">
        <f ca="1">IFERROR(__xludf.DUMMYFUNCTION("""COMPUTED_VALUE"""),"23/01/2025 22:00")</f>
        <v>23/01/2025 22:00</v>
      </c>
      <c r="L633" s="360" t="str">
        <f ca="1">IFERROR(__xludf.DUMMYFUNCTION("""COMPUTED_VALUE"""),"23/01/2025  23:54")</f>
        <v>23/01/2025  23:54</v>
      </c>
      <c r="M633" s="360" t="str">
        <f ca="1">IFERROR(__xludf.DUMMYFUNCTION("""COMPUTED_VALUE"""),"24/01/2025 MORNING")</f>
        <v>24/01/2025 MORNING</v>
      </c>
    </row>
    <row r="634" spans="1:13" ht="18.75">
      <c r="A634" s="360"/>
      <c r="B634" s="360"/>
      <c r="C634" s="361"/>
      <c r="D634" s="360"/>
      <c r="E634" s="360"/>
      <c r="F634" s="360"/>
      <c r="G634" s="360"/>
      <c r="H634" s="360"/>
      <c r="I634" s="362"/>
      <c r="J634" s="362"/>
      <c r="K634" s="362"/>
      <c r="L634" s="360"/>
      <c r="M634" s="360"/>
    </row>
    <row r="635" spans="1:13" ht="18.75">
      <c r="A635" s="360"/>
      <c r="B635" s="360"/>
      <c r="C635" s="361"/>
      <c r="D635" s="360"/>
      <c r="E635" s="360"/>
      <c r="F635" s="360"/>
      <c r="G635" s="360"/>
      <c r="H635" s="360"/>
      <c r="I635" s="362"/>
      <c r="J635" s="362"/>
      <c r="K635" s="362"/>
      <c r="L635" s="360"/>
      <c r="M635" s="360"/>
    </row>
    <row r="636" spans="1:13" ht="18.75">
      <c r="A636" s="360"/>
      <c r="B636" s="360" t="str">
        <f ca="1">IFERROR(__xludf.DUMMYFUNCTION("""COMPUTED_VALUE"""),"WEEK 03/2025")</f>
        <v>WEEK 03/2025</v>
      </c>
      <c r="C636" s="361" t="str">
        <f ca="1">IFERROR(__xludf.DUMMYFUNCTION("""COMPUTED_VALUE"""),"T.S. LINES LTD. C/O")</f>
        <v>T.S. LINES LTD. C/O</v>
      </c>
      <c r="D636" s="360"/>
      <c r="E636" s="360"/>
      <c r="F636" s="360"/>
      <c r="G636" s="360"/>
      <c r="H636" s="360"/>
      <c r="I636" s="362"/>
      <c r="J636" s="362"/>
      <c r="K636" s="362"/>
      <c r="L636" s="360"/>
      <c r="M636" s="360"/>
    </row>
    <row r="637" spans="1:13" ht="18.75">
      <c r="A637" s="360"/>
      <c r="B637" s="360"/>
      <c r="C637" s="361" t="str">
        <f ca="1">IFERROR(__xludf.DUMMYFUNCTION("""COMPUTED_VALUE"""),"TS CONTAINER LINES (THAILAND) CO.,LTD. (HEAD OFFICE)")</f>
        <v>TS CONTAINER LINES (THAILAND) CO.,LTD. (HEAD OFFICE)</v>
      </c>
      <c r="D637" s="360"/>
      <c r="E637" s="360"/>
      <c r="F637" s="360"/>
      <c r="G637" s="360"/>
      <c r="H637" s="360"/>
      <c r="I637" s="362"/>
      <c r="J637" s="362"/>
      <c r="K637" s="362"/>
      <c r="L637" s="360"/>
      <c r="M637" s="360"/>
    </row>
    <row r="638" spans="1:13" ht="18.75">
      <c r="A638" s="360" t="str">
        <f ca="1">IFERROR(__xludf.DUMMYFUNCTION("""COMPUTED_VALUE"""),"SERVICE")</f>
        <v>SERVICE</v>
      </c>
      <c r="B638" s="360" t="str">
        <f ca="1">IFERROR(__xludf.DUMMYFUNCTION("""COMPUTED_VALUE"""),"VESSEL NAME")</f>
        <v>VESSEL NAME</v>
      </c>
      <c r="C638" s="361" t="str">
        <f ca="1">IFERROR(__xludf.DUMMYFUNCTION("""COMPUTED_VALUE"""),"PORT")</f>
        <v>PORT</v>
      </c>
      <c r="D638" s="360" t="str">
        <f ca="1">IFERROR(__xludf.DUMMYFUNCTION("""COMPUTED_VALUE"""),"PERFOMA ETD")</f>
        <v>PERFOMA ETD</v>
      </c>
      <c r="E638" s="360" t="str">
        <f ca="1">IFERROR(__xludf.DUMMYFUNCTION("""COMPUTED_VALUE"""),"EX.RATE/DATE/")</f>
        <v>EX.RATE/DATE/</v>
      </c>
      <c r="F638" s="360" t="str">
        <f ca="1">IFERROR(__xludf.DUMMYFUNCTION("""COMPUTED_VALUE"""),"SI CUT OFF USA")</f>
        <v>SI CUT OFF USA</v>
      </c>
      <c r="G638" s="360" t="str">
        <f ca="1">IFERROR(__xludf.DUMMYFUNCTION("""COMPUTED_VALUE"""),"SI CUT OFF")</f>
        <v>SI CUT OFF</v>
      </c>
      <c r="H638" s="360" t="str">
        <f ca="1">IFERROR(__xludf.DUMMYFUNCTION("""COMPUTED_VALUE"""),"B/L CFM USA")</f>
        <v>B/L CFM USA</v>
      </c>
      <c r="I638" s="362" t="str">
        <f ca="1">IFERROR(__xludf.DUMMYFUNCTION("""COMPUTED_VALUE"""),"B/L CFM CHINA,JP,VN")</f>
        <v>B/L CFM CHINA,JP,VN</v>
      </c>
      <c r="J638" s="362" t="str">
        <f ca="1">IFERROR(__xludf.DUMMYFUNCTION("""COMPUTED_VALUE"""),"B/L CONFIRM")</f>
        <v>B/L CONFIRM</v>
      </c>
      <c r="K638" s="362" t="str">
        <f ca="1">IFERROR(__xludf.DUMMYFUNCTION("""COMPUTED_VALUE"""),"ETD")</f>
        <v>ETD</v>
      </c>
      <c r="L638" s="360" t="str">
        <f ca="1">IFERROR(__xludf.DUMMYFUNCTION("""COMPUTED_VALUE"""),"ATD")</f>
        <v>ATD</v>
      </c>
      <c r="M638" s="360" t="str">
        <f ca="1">IFERROR(__xludf.DUMMYFUNCTION("""COMPUTED_VALUE"""),"B/L ISSUED DATE")</f>
        <v>B/L ISSUED DATE</v>
      </c>
    </row>
    <row r="639" spans="1:13" ht="18.75">
      <c r="A639" s="360"/>
      <c r="B639" s="360"/>
      <c r="C639" s="361"/>
      <c r="D639" s="360"/>
      <c r="E639" s="360" t="str">
        <f ca="1">IFERROR(__xludf.DUMMYFUNCTION("""COMPUTED_VALUE"""),"BANGKOK BANK")</f>
        <v>BANGKOK BANK</v>
      </c>
      <c r="F639" s="360" t="str">
        <f ca="1">IFERROR(__xludf.DUMMYFUNCTION("""COMPUTED_VALUE"""),"4 days before ETD")</f>
        <v>4 days before ETD</v>
      </c>
      <c r="G639" s="360"/>
      <c r="H639" s="360" t="str">
        <f ca="1">IFERROR(__xludf.DUMMYFUNCTION("""COMPUTED_VALUE"""),"3 days before ETD")</f>
        <v>3 days before ETD</v>
      </c>
      <c r="I639" s="362" t="str">
        <f ca="1">IFERROR(__xludf.DUMMYFUNCTION("""COMPUTED_VALUE"""),"Direct port CUT OFF")</f>
        <v>Direct port CUT OFF</v>
      </c>
      <c r="J639" s="362" t="str">
        <f ca="1">IFERROR(__xludf.DUMMYFUNCTION("""COMPUTED_VALUE"""),"Orther port CUT OFF")</f>
        <v>Orther port CUT OFF</v>
      </c>
      <c r="K639" s="362" t="str">
        <f ca="1">IFERROR(__xludf.DUMMYFUNCTION("""COMPUTED_VALUE"""),"ON BOARD DATE")</f>
        <v>ON BOARD DATE</v>
      </c>
      <c r="L639" s="360" t="str">
        <f ca="1">IFERROR(__xludf.DUMMYFUNCTION("""COMPUTED_VALUE"""),"วันเรือออกจริง")</f>
        <v>วันเรือออกจริง</v>
      </c>
      <c r="M639" s="360" t="str">
        <f ca="1">IFERROR(__xludf.DUMMYFUNCTION("""COMPUTED_VALUE"""),"วันปล่อยบีแอล")</f>
        <v>วันปล่อยบีแอล</v>
      </c>
    </row>
    <row r="640" spans="1:13" ht="18.75">
      <c r="A640" s="360"/>
      <c r="B640" s="360"/>
      <c r="C640" s="361"/>
      <c r="D640" s="360"/>
      <c r="E640" s="360"/>
      <c r="F640" s="360"/>
      <c r="G640" s="360" t="str">
        <f ca="1">IFERROR(__xludf.DUMMYFUNCTION("""COMPUTED_VALUE"""),"3 days before ETD")</f>
        <v>3 days before ETD</v>
      </c>
      <c r="H640" s="360"/>
      <c r="I640" s="362" t="str">
        <f ca="1">IFERROR(__xludf.DUMMYFUNCTION("""COMPUTED_VALUE"""),"2 days before ETD")</f>
        <v>2 days before ETD</v>
      </c>
      <c r="J640" s="362" t="str">
        <f ca="1">IFERROR(__xludf.DUMMYFUNCTION("""COMPUTED_VALUE"""),"1 days before ETD")</f>
        <v>1 days before ETD</v>
      </c>
      <c r="K640" s="362"/>
      <c r="L640" s="360"/>
      <c r="M640" s="360"/>
    </row>
    <row r="641" spans="1:13" ht="18.75">
      <c r="A641" s="360" t="str">
        <f ca="1">IFERROR(__xludf.DUMMYFUNCTION("""COMPUTED_VALUE"""),"CHT")</f>
        <v>CHT</v>
      </c>
      <c r="B641" s="360" t="str">
        <f ca="1">IFERROR(__xludf.DUMMYFUNCTION("""COMPUTED_VALUE"""),"KMTC POHANG V.2419N")</f>
        <v>KMTC POHANG V.2419N</v>
      </c>
      <c r="C641" s="361" t="str">
        <f ca="1">IFERROR(__xludf.DUMMYFUNCTION("""COMPUTED_VALUE"""),"THBKK")</f>
        <v>THBKK</v>
      </c>
      <c r="D641" s="373">
        <f ca="1">IFERROR(__xludf.DUMMYFUNCTION("""COMPUTED_VALUE"""),45870.75)</f>
        <v>45870.75</v>
      </c>
      <c r="E641" s="360" t="str">
        <f ca="1">IFERROR(__xludf.DUMMYFUNCTION("""COMPUTED_VALUE"""),"34.85 10/01/2025")</f>
        <v>34.85 10/01/2025</v>
      </c>
      <c r="F641" s="360" t="str">
        <f ca="1">IFERROR(__xludf.DUMMYFUNCTION("""COMPUTED_VALUE"""),"14/01/2025 13:00")</f>
        <v>14/01/2025 13:00</v>
      </c>
      <c r="G641" s="360" t="str">
        <f ca="1">IFERROR(__xludf.DUMMYFUNCTION("""COMPUTED_VALUE"""),"15/01/2025 15:00")</f>
        <v>15/01/2025 15:00</v>
      </c>
      <c r="H641" s="360" t="str">
        <f ca="1">IFERROR(__xludf.DUMMYFUNCTION("""COMPUTED_VALUE"""),"15/01/2025 13:00")</f>
        <v>15/01/2025 13:00</v>
      </c>
      <c r="I641" s="362" t="str">
        <f ca="1">IFERROR(__xludf.DUMMYFUNCTION("""COMPUTED_VALUE"""),"16/01/2025 15:00")</f>
        <v>16/01/2025 15:00</v>
      </c>
      <c r="J641" s="362" t="str">
        <f ca="1">IFERROR(__xludf.DUMMYFUNCTION("""COMPUTED_VALUE"""),"17/01/2025 16:00")</f>
        <v>17/01/2025 16:00</v>
      </c>
      <c r="K641" s="362" t="str">
        <f ca="1">IFERROR(__xludf.DUMMYFUNCTION("""COMPUTED_VALUE"""),"19/01/2025 16:00")</f>
        <v>19/01/2025 16:00</v>
      </c>
      <c r="L641" s="360" t="str">
        <f ca="1">IFERROR(__xludf.DUMMYFUNCTION("""COMPUTED_VALUE"""),"19/01/2025  15:00")</f>
        <v>19/01/2025  15:00</v>
      </c>
      <c r="M641" s="360" t="str">
        <f ca="1">IFERROR(__xludf.DUMMYFUNCTION("""COMPUTED_VALUE"""),"20/01/2025 MORNING")</f>
        <v>20/01/2025 MORNING</v>
      </c>
    </row>
    <row r="642" spans="1:13" ht="18.75">
      <c r="A642" s="360"/>
      <c r="B642" s="360"/>
      <c r="C642" s="361" t="str">
        <f ca="1">IFERROR(__xludf.DUMMYFUNCTION("""COMPUTED_VALUE"""),"THLCB")</f>
        <v>THLCB</v>
      </c>
      <c r="D642" s="373">
        <f ca="1">IFERROR(__xludf.DUMMYFUNCTION("""COMPUTED_VALUE"""),45901.5)</f>
        <v>45901.5</v>
      </c>
      <c r="E642" s="360"/>
      <c r="F642" s="360" t="str">
        <f ca="1">IFERROR(__xludf.DUMMYFUNCTION("""COMPUTED_VALUE"""),"14/01/2025 13:00")</f>
        <v>14/01/2025 13:00</v>
      </c>
      <c r="G642" s="360" t="str">
        <f ca="1">IFERROR(__xludf.DUMMYFUNCTION("""COMPUTED_VALUE"""),"15/01/2025 15:00")</f>
        <v>15/01/2025 15:00</v>
      </c>
      <c r="H642" s="360" t="str">
        <f ca="1">IFERROR(__xludf.DUMMYFUNCTION("""COMPUTED_VALUE"""),"15/01/2025 13:00")</f>
        <v>15/01/2025 13:00</v>
      </c>
      <c r="I642" s="362" t="str">
        <f ca="1">IFERROR(__xludf.DUMMYFUNCTION("""COMPUTED_VALUE"""),"16/01/2025 15:00")</f>
        <v>16/01/2025 15:00</v>
      </c>
      <c r="J642" s="362" t="str">
        <f ca="1">IFERROR(__xludf.DUMMYFUNCTION("""COMPUTED_VALUE"""),"17/01/2025 16:00")</f>
        <v>17/01/2025 16:00</v>
      </c>
      <c r="K642" s="362" t="str">
        <f ca="1">IFERROR(__xludf.DUMMYFUNCTION("""COMPUTED_VALUE"""),"20/01/2025 15:00")</f>
        <v>20/01/2025 15:00</v>
      </c>
      <c r="L642" s="360" t="str">
        <f ca="1">IFERROR(__xludf.DUMMYFUNCTION("""COMPUTED_VALUE"""),"20/01/2025  17:00")</f>
        <v>20/01/2025  17:00</v>
      </c>
      <c r="M642" s="360" t="str">
        <f ca="1">IFERROR(__xludf.DUMMYFUNCTION("""COMPUTED_VALUE"""),"21/01/2025 MORNING")</f>
        <v>21/01/2025 MORNING</v>
      </c>
    </row>
    <row r="643" spans="1:13" ht="18.75">
      <c r="A643" s="360" t="str">
        <f ca="1">IFERROR(__xludf.DUMMYFUNCTION("""COMPUTED_VALUE"""),"CVT")</f>
        <v>CVT</v>
      </c>
      <c r="B643" s="360" t="str">
        <f ca="1">IFERROR(__xludf.DUMMYFUNCTION("""COMPUTED_VALUE"""),"KMTC TAIPEIS V.2415N")</f>
        <v>KMTC TAIPEIS V.2415N</v>
      </c>
      <c r="C643" s="361" t="str">
        <f ca="1">IFERROR(__xludf.DUMMYFUNCTION("""COMPUTED_VALUE"""),"THBKK")</f>
        <v>THBKK</v>
      </c>
      <c r="D643" s="373">
        <f ca="1">IFERROR(__xludf.DUMMYFUNCTION("""COMPUTED_VALUE"""),45901.3333333333)</f>
        <v>45901.333333333299</v>
      </c>
      <c r="E643" s="360" t="str">
        <f ca="1">IFERROR(__xludf.DUMMYFUNCTION("""COMPUTED_VALUE"""),"34.49 02/01/2025")</f>
        <v>34.49 02/01/2025</v>
      </c>
      <c r="F643" s="360" t="str">
        <f ca="1">IFERROR(__xludf.DUMMYFUNCTION("""COMPUTED_VALUE"""),"13/01/2025 13:00")</f>
        <v>13/01/2025 13:00</v>
      </c>
      <c r="G643" s="360" t="str">
        <f ca="1">IFERROR(__xludf.DUMMYFUNCTION("""COMPUTED_VALUE"""),"14/01/2025 15:00")</f>
        <v>14/01/2025 15:00</v>
      </c>
      <c r="H643" s="360" t="str">
        <f ca="1">IFERROR(__xludf.DUMMYFUNCTION("""COMPUTED_VALUE"""),"14/01/2025 13:00")</f>
        <v>14/01/2025 13:00</v>
      </c>
      <c r="I643" s="362" t="str">
        <f ca="1">IFERROR(__xludf.DUMMYFUNCTION("""COMPUTED_VALUE"""),"15/01/2025 15:00")</f>
        <v>15/01/2025 15:00</v>
      </c>
      <c r="J643" s="362" t="str">
        <f ca="1">IFERROR(__xludf.DUMMYFUNCTION("""COMPUTED_VALUE"""),"16/01/2025 16:00")</f>
        <v>16/01/2025 16:00</v>
      </c>
      <c r="K643" s="362" t="str">
        <f ca="1">IFERROR(__xludf.DUMMYFUNCTION("""COMPUTED_VALUE"""),"17/01/2025 18:00")</f>
        <v>17/01/2025 18:00</v>
      </c>
      <c r="L643" s="360" t="str">
        <f ca="1">IFERROR(__xludf.DUMMYFUNCTION("""COMPUTED_VALUE"""),"17/01/2025 12.00")</f>
        <v>17/01/2025 12.00</v>
      </c>
      <c r="M643" s="360" t="str">
        <f ca="1">IFERROR(__xludf.DUMMYFUNCTION("""COMPUTED_VALUE"""),"17/01/2025 NOON")</f>
        <v>17/01/2025 NOON</v>
      </c>
    </row>
    <row r="644" spans="1:13" ht="18.75">
      <c r="A644" s="360"/>
      <c r="B644" s="360"/>
      <c r="C644" s="361" t="str">
        <f ca="1">IFERROR(__xludf.DUMMYFUNCTION("""COMPUTED_VALUE"""),"THLCB")</f>
        <v>THLCB</v>
      </c>
      <c r="D644" s="373">
        <f ca="1">IFERROR(__xludf.DUMMYFUNCTION("""COMPUTED_VALUE"""),45931.1666666666)</f>
        <v>45931.166666666599</v>
      </c>
      <c r="E644" s="360"/>
      <c r="F644" s="360" t="str">
        <f ca="1">IFERROR(__xludf.DUMMYFUNCTION("""COMPUTED_VALUE"""),"14/01/2025 13:00")</f>
        <v>14/01/2025 13:00</v>
      </c>
      <c r="G644" s="360" t="str">
        <f ca="1">IFERROR(__xludf.DUMMYFUNCTION("""COMPUTED_VALUE"""),"15/01/2025 15:00")</f>
        <v>15/01/2025 15:00</v>
      </c>
      <c r="H644" s="360" t="str">
        <f ca="1">IFERROR(__xludf.DUMMYFUNCTION("""COMPUTED_VALUE"""),"15/01/2025 13:00")</f>
        <v>15/01/2025 13:00</v>
      </c>
      <c r="I644" s="362" t="str">
        <f ca="1">IFERROR(__xludf.DUMMYFUNCTION("""COMPUTED_VALUE"""),"16/01/2025 15:00")</f>
        <v>16/01/2025 15:00</v>
      </c>
      <c r="J644" s="362" t="str">
        <f ca="1">IFERROR(__xludf.DUMMYFUNCTION("""COMPUTED_VALUE"""),"17/01/2025 16:00")</f>
        <v>17/01/2025 16:00</v>
      </c>
      <c r="K644" s="362" t="str">
        <f ca="1">IFERROR(__xludf.DUMMYFUNCTION("""COMPUTED_VALUE"""),"18/01/2025 04:00")</f>
        <v>18/01/2025 04:00</v>
      </c>
      <c r="L644" s="360" t="str">
        <f ca="1">IFERROR(__xludf.DUMMYFUNCTION("""COMPUTED_VALUE"""),"18/01/2025 07.00")</f>
        <v>18/01/2025 07.00</v>
      </c>
      <c r="M644" s="360" t="str">
        <f ca="1">IFERROR(__xludf.DUMMYFUNCTION("""COMPUTED_VALUE"""),"20/01/2025 MORNING")</f>
        <v>20/01/2025 MORNING</v>
      </c>
    </row>
    <row r="645" spans="1:13" ht="18.75">
      <c r="A645" s="360"/>
      <c r="B645" s="360"/>
      <c r="C645" s="361"/>
      <c r="D645" s="360"/>
      <c r="E645" s="360"/>
      <c r="F645" s="360"/>
      <c r="G645" s="360"/>
      <c r="H645" s="360"/>
      <c r="I645" s="362"/>
      <c r="J645" s="362"/>
      <c r="K645" s="362"/>
      <c r="L645" s="360"/>
      <c r="M645" s="360"/>
    </row>
    <row r="646" spans="1:13" ht="18.75">
      <c r="A646" s="360"/>
      <c r="B646" s="360" t="str">
        <f ca="1">IFERROR(__xludf.DUMMYFUNCTION("""COMPUTED_VALUE"""),"WEEK 03/2025")</f>
        <v>WEEK 03/2025</v>
      </c>
      <c r="C646" s="361" t="str">
        <f ca="1">IFERROR(__xludf.DUMMYFUNCTION("""COMPUTED_VALUE"""),"TS CONTAINER LINES PTE. LTD. C/O")</f>
        <v>TS CONTAINER LINES PTE. LTD. C/O</v>
      </c>
      <c r="D646" s="360"/>
      <c r="E646" s="360"/>
      <c r="F646" s="360"/>
      <c r="G646" s="360"/>
      <c r="H646" s="360"/>
      <c r="I646" s="362"/>
      <c r="J646" s="362"/>
      <c r="K646" s="362"/>
      <c r="L646" s="360"/>
      <c r="M646" s="360"/>
    </row>
    <row r="647" spans="1:13" ht="18.75">
      <c r="A647" s="360"/>
      <c r="B647" s="360"/>
      <c r="C647" s="361" t="str">
        <f ca="1">IFERROR(__xludf.DUMMYFUNCTION("""COMPUTED_VALUE"""),"TS CONTAINER LINES (THAILAND) CO., LTD. (HEAD OFFICE)")</f>
        <v>TS CONTAINER LINES (THAILAND) CO., LTD. (HEAD OFFICE)</v>
      </c>
      <c r="D647" s="360"/>
      <c r="E647" s="360"/>
      <c r="F647" s="360"/>
      <c r="G647" s="360"/>
      <c r="H647" s="360"/>
      <c r="I647" s="362"/>
      <c r="J647" s="362"/>
      <c r="K647" s="362"/>
      <c r="L647" s="360"/>
      <c r="M647" s="360"/>
    </row>
    <row r="648" spans="1:13" ht="18.75">
      <c r="A648" s="360" t="str">
        <f ca="1">IFERROR(__xludf.DUMMYFUNCTION("""COMPUTED_VALUE"""),"SERVICE")</f>
        <v>SERVICE</v>
      </c>
      <c r="B648" s="360" t="str">
        <f ca="1">IFERROR(__xludf.DUMMYFUNCTION("""COMPUTED_VALUE"""),"VESSEL NAME")</f>
        <v>VESSEL NAME</v>
      </c>
      <c r="C648" s="361" t="str">
        <f ca="1">IFERROR(__xludf.DUMMYFUNCTION("""COMPUTED_VALUE"""),"PORT")</f>
        <v>PORT</v>
      </c>
      <c r="D648" s="360" t="str">
        <f ca="1">IFERROR(__xludf.DUMMYFUNCTION("""COMPUTED_VALUE"""),"PERFOMA ETD")</f>
        <v>PERFOMA ETD</v>
      </c>
      <c r="E648" s="360" t="str">
        <f ca="1">IFERROR(__xludf.DUMMYFUNCTION("""COMPUTED_VALUE"""),"EX.RATE/DATE/")</f>
        <v>EX.RATE/DATE/</v>
      </c>
      <c r="F648" s="360" t="str">
        <f ca="1">IFERROR(__xludf.DUMMYFUNCTION("""COMPUTED_VALUE"""),"SI CUT OFF USA")</f>
        <v>SI CUT OFF USA</v>
      </c>
      <c r="G648" s="360" t="str">
        <f ca="1">IFERROR(__xludf.DUMMYFUNCTION("""COMPUTED_VALUE"""),"SI CUT OFF")</f>
        <v>SI CUT OFF</v>
      </c>
      <c r="H648" s="360" t="str">
        <f ca="1">IFERROR(__xludf.DUMMYFUNCTION("""COMPUTED_VALUE"""),"B/L CFM USA")</f>
        <v>B/L CFM USA</v>
      </c>
      <c r="I648" s="362" t="str">
        <f ca="1">IFERROR(__xludf.DUMMYFUNCTION("""COMPUTED_VALUE"""),"B/L CFM CHINA,JP,VN")</f>
        <v>B/L CFM CHINA,JP,VN</v>
      </c>
      <c r="J648" s="362" t="str">
        <f ca="1">IFERROR(__xludf.DUMMYFUNCTION("""COMPUTED_VALUE"""),"B/L CONFIRM")</f>
        <v>B/L CONFIRM</v>
      </c>
      <c r="K648" s="362" t="str">
        <f ca="1">IFERROR(__xludf.DUMMYFUNCTION("""COMPUTED_VALUE"""),"ETD")</f>
        <v>ETD</v>
      </c>
      <c r="L648" s="360" t="str">
        <f ca="1">IFERROR(__xludf.DUMMYFUNCTION("""COMPUTED_VALUE"""),"ATD")</f>
        <v>ATD</v>
      </c>
      <c r="M648" s="360" t="str">
        <f ca="1">IFERROR(__xludf.DUMMYFUNCTION("""COMPUTED_VALUE"""),"B/L ISSUED DATE")</f>
        <v>B/L ISSUED DATE</v>
      </c>
    </row>
    <row r="649" spans="1:13" ht="18.75">
      <c r="A649" s="360"/>
      <c r="B649" s="360"/>
      <c r="C649" s="361"/>
      <c r="D649" s="360"/>
      <c r="E649" s="360" t="str">
        <f ca="1">IFERROR(__xludf.DUMMYFUNCTION("""COMPUTED_VALUE"""),"BANGKOK BANK")</f>
        <v>BANGKOK BANK</v>
      </c>
      <c r="F649" s="360" t="str">
        <f ca="1">IFERROR(__xludf.DUMMYFUNCTION("""COMPUTED_VALUE"""),"4 days before ETD")</f>
        <v>4 days before ETD</v>
      </c>
      <c r="G649" s="360"/>
      <c r="H649" s="360" t="str">
        <f ca="1">IFERROR(__xludf.DUMMYFUNCTION("""COMPUTED_VALUE"""),"3 days before ETD")</f>
        <v>3 days before ETD</v>
      </c>
      <c r="I649" s="362" t="str">
        <f ca="1">IFERROR(__xludf.DUMMYFUNCTION("""COMPUTED_VALUE"""),"Direct port CUT OFF")</f>
        <v>Direct port CUT OFF</v>
      </c>
      <c r="J649" s="362" t="str">
        <f ca="1">IFERROR(__xludf.DUMMYFUNCTION("""COMPUTED_VALUE"""),"Orther port CUT OFF")</f>
        <v>Orther port CUT OFF</v>
      </c>
      <c r="K649" s="362" t="str">
        <f ca="1">IFERROR(__xludf.DUMMYFUNCTION("""COMPUTED_VALUE"""),"ON BOARD DATE")</f>
        <v>ON BOARD DATE</v>
      </c>
      <c r="L649" s="360" t="str">
        <f ca="1">IFERROR(__xludf.DUMMYFUNCTION("""COMPUTED_VALUE"""),"วันเรือออกจริง")</f>
        <v>วันเรือออกจริง</v>
      </c>
      <c r="M649" s="360" t="str">
        <f ca="1">IFERROR(__xludf.DUMMYFUNCTION("""COMPUTED_VALUE"""),"วันปล่อยบีแอล")</f>
        <v>วันปล่อยบีแอล</v>
      </c>
    </row>
    <row r="650" spans="1:13" ht="18.75">
      <c r="A650" s="360"/>
      <c r="B650" s="360"/>
      <c r="C650" s="361"/>
      <c r="D650" s="360"/>
      <c r="E650" s="360"/>
      <c r="F650" s="360"/>
      <c r="G650" s="360" t="str">
        <f ca="1">IFERROR(__xludf.DUMMYFUNCTION("""COMPUTED_VALUE"""),"3 days before ETD")</f>
        <v>3 days before ETD</v>
      </c>
      <c r="H650" s="360"/>
      <c r="I650" s="362" t="str">
        <f ca="1">IFERROR(__xludf.DUMMYFUNCTION("""COMPUTED_VALUE"""),"2 days before ETD")</f>
        <v>2 days before ETD</v>
      </c>
      <c r="J650" s="362" t="str">
        <f ca="1">IFERROR(__xludf.DUMMYFUNCTION("""COMPUTED_VALUE"""),"1 days before ETD")</f>
        <v>1 days before ETD</v>
      </c>
      <c r="K650" s="362"/>
      <c r="L650" s="360"/>
      <c r="M650" s="360"/>
    </row>
    <row r="651" spans="1:13" ht="18.75">
      <c r="A651" s="360" t="str">
        <f ca="1">IFERROR(__xludf.DUMMYFUNCTION("""COMPUTED_VALUE"""),"JHTS")</f>
        <v>JHTS</v>
      </c>
      <c r="B651" s="360" t="str">
        <f ca="1">IFERROR(__xludf.DUMMYFUNCTION("""COMPUTED_VALUE"""),"TS MAWEI V.25001N")</f>
        <v>TS MAWEI V.25001N</v>
      </c>
      <c r="C651" s="361" t="str">
        <f ca="1">IFERROR(__xludf.DUMMYFUNCTION("""COMPUTED_VALUE"""),"THBKK")</f>
        <v>THBKK</v>
      </c>
      <c r="D651" s="373">
        <f ca="1">IFERROR(__xludf.DUMMYFUNCTION("""COMPUTED_VALUE"""),45992.25)</f>
        <v>45992.25</v>
      </c>
      <c r="E651" s="360" t="str">
        <f ca="1">IFERROR(__xludf.DUMMYFUNCTION("""COMPUTED_VALUE"""),"34.70 03/01/2025")</f>
        <v>34.70 03/01/2025</v>
      </c>
      <c r="F651" s="366">
        <f ca="1">IFERROR(__xludf.DUMMYFUNCTION("""COMPUTED_VALUE"""),45901.5416666666)</f>
        <v>45901.541666666599</v>
      </c>
      <c r="G651" s="366">
        <f ca="1">IFERROR(__xludf.DUMMYFUNCTION("""COMPUTED_VALUE"""),45931.625)</f>
        <v>45931.625</v>
      </c>
      <c r="H651" s="366">
        <f ca="1">IFERROR(__xludf.DUMMYFUNCTION("""COMPUTED_VALUE"""),45931.5416666666)</f>
        <v>45931.541666666599</v>
      </c>
      <c r="I651" s="369">
        <f ca="1">IFERROR(__xludf.DUMMYFUNCTION("""COMPUTED_VALUE"""),45931.625)</f>
        <v>45931.625</v>
      </c>
      <c r="J651" s="369">
        <f ca="1">IFERROR(__xludf.DUMMYFUNCTION("""COMPUTED_VALUE"""),45931.6666666666)</f>
        <v>45931.666666666599</v>
      </c>
      <c r="K651" s="362" t="str">
        <f ca="1">IFERROR(__xludf.DUMMYFUNCTION("""COMPUTED_VALUE"""),"13/01/2025 07:00")</f>
        <v>13/01/2025 07:00</v>
      </c>
      <c r="L651" s="360" t="str">
        <f ca="1">IFERROR(__xludf.DUMMYFUNCTION("""COMPUTED_VALUE"""),"13/01/2025  07:00")</f>
        <v>13/01/2025  07:00</v>
      </c>
      <c r="M651" s="360" t="str">
        <f ca="1">IFERROR(__xludf.DUMMYFUNCTION("""COMPUTED_VALUE"""),"13/01/2025 NOON")</f>
        <v>13/01/2025 NOON</v>
      </c>
    </row>
    <row r="652" spans="1:13" ht="18.75">
      <c r="A652" s="360"/>
      <c r="B652" s="360"/>
      <c r="C652" s="361" t="str">
        <f ca="1">IFERROR(__xludf.DUMMYFUNCTION("""COMPUTED_VALUE"""),"THLCB")</f>
        <v>THLCB</v>
      </c>
      <c r="D652" s="373" t="str">
        <f ca="1">IFERROR(__xludf.DUMMYFUNCTION("""COMPUTED_VALUE"""),"13/01/2025 06:00")</f>
        <v>13/01/2025 06:00</v>
      </c>
      <c r="E652" s="360"/>
      <c r="F652" s="366">
        <f ca="1">IFERROR(__xludf.DUMMYFUNCTION("""COMPUTED_VALUE"""),45901.5416666666)</f>
        <v>45901.541666666599</v>
      </c>
      <c r="G652" s="366">
        <f ca="1">IFERROR(__xludf.DUMMYFUNCTION("""COMPUTED_VALUE"""),45931.625)</f>
        <v>45931.625</v>
      </c>
      <c r="H652" s="366">
        <f ca="1">IFERROR(__xludf.DUMMYFUNCTION("""COMPUTED_VALUE"""),45931.5416666666)</f>
        <v>45931.541666666599</v>
      </c>
      <c r="I652" s="369">
        <f ca="1">IFERROR(__xludf.DUMMYFUNCTION("""COMPUTED_VALUE"""),45931.625)</f>
        <v>45931.625</v>
      </c>
      <c r="J652" s="369">
        <f ca="1">IFERROR(__xludf.DUMMYFUNCTION("""COMPUTED_VALUE"""),45931.6666666666)</f>
        <v>45931.666666666599</v>
      </c>
      <c r="K652" s="370" t="str">
        <f ca="1">IFERROR(__xludf.DUMMYFUNCTION("""COMPUTED_VALUE"""),"13/01/2025 23:00")</f>
        <v>13/01/2025 23:00</v>
      </c>
      <c r="L652" s="360" t="str">
        <f ca="1">IFERROR(__xludf.DUMMYFUNCTION("""COMPUTED_VALUE"""),"14/01/2025  08:00")</f>
        <v>14/01/2025  08:00</v>
      </c>
      <c r="M652" s="360" t="str">
        <f ca="1">IFERROR(__xludf.DUMMYFUNCTION("""COMPUTED_VALUE"""),"14/01/2025 NOON")</f>
        <v>14/01/2025 NOON</v>
      </c>
    </row>
    <row r="653" spans="1:13" ht="18.75">
      <c r="A653" s="360" t="str">
        <f ca="1">IFERROR(__xludf.DUMMYFUNCTION("""COMPUTED_VALUE"""),"TRX")</f>
        <v>TRX</v>
      </c>
      <c r="B653" s="360" t="str">
        <f ca="1">IFERROR(__xludf.DUMMYFUNCTION("""COMPUTED_VALUE"""),"GREEN EARTH V.004N")</f>
        <v>GREEN EARTH V.004N</v>
      </c>
      <c r="C653" s="361" t="str">
        <f ca="1">IFERROR(__xludf.DUMMYFUNCTION("""COMPUTED_VALUE"""),"THBKK")</f>
        <v>THBKK</v>
      </c>
      <c r="D653" s="373" t="str">
        <f ca="1">IFERROR(__xludf.DUMMYFUNCTION("""COMPUTED_VALUE"""),"14/01/2025 19:30")</f>
        <v>14/01/2025 19:30</v>
      </c>
      <c r="E653" s="360" t="str">
        <f ca="1">IFERROR(__xludf.DUMMYFUNCTION("""COMPUTED_VALUE"""),"34.87 08/01/2025")</f>
        <v>34.87 08/01/2025</v>
      </c>
      <c r="F653" s="360" t="str">
        <f ca="1">IFERROR(__xludf.DUMMYFUNCTION("""COMPUTED_VALUE"""),"14/01/2025 13:00")</f>
        <v>14/01/2025 13:00</v>
      </c>
      <c r="G653" s="360" t="str">
        <f ca="1">IFERROR(__xludf.DUMMYFUNCTION("""COMPUTED_VALUE"""),"15/01/2025 15:00")</f>
        <v>15/01/2025 15:00</v>
      </c>
      <c r="H653" s="360" t="str">
        <f ca="1">IFERROR(__xludf.DUMMYFUNCTION("""COMPUTED_VALUE"""),"15/01/2025 13:00")</f>
        <v>15/01/2025 13:00</v>
      </c>
      <c r="I653" s="362" t="str">
        <f ca="1">IFERROR(__xludf.DUMMYFUNCTION("""COMPUTED_VALUE"""),"16/01/2025 15:00")</f>
        <v>16/01/2025 15:00</v>
      </c>
      <c r="J653" s="362" t="str">
        <f ca="1">IFERROR(__xludf.DUMMYFUNCTION("""COMPUTED_VALUE"""),"17/01/2025 16:00")</f>
        <v>17/01/2025 16:00</v>
      </c>
      <c r="K653" s="362" t="str">
        <f ca="1">IFERROR(__xludf.DUMMYFUNCTION("""COMPUTED_VALUE"""),"18/01/2025 04:00")</f>
        <v>18/01/2025 04:00</v>
      </c>
      <c r="L653" s="360" t="str">
        <f ca="1">IFERROR(__xludf.DUMMYFUNCTION("""COMPUTED_VALUE"""),"18/01/2025 04:00")</f>
        <v>18/01/2025 04:00</v>
      </c>
      <c r="M653" s="360" t="str">
        <f ca="1">IFERROR(__xludf.DUMMYFUNCTION("""COMPUTED_VALUE"""),"20/01/2025 MORNING")</f>
        <v>20/01/2025 MORNING</v>
      </c>
    </row>
    <row r="654" spans="1:13" ht="18.75">
      <c r="A654" s="360"/>
      <c r="B654" s="360"/>
      <c r="C654" s="361" t="str">
        <f ca="1">IFERROR(__xludf.DUMMYFUNCTION("""COMPUTED_VALUE"""),"THLCB")</f>
        <v>THLCB</v>
      </c>
      <c r="D654" s="373" t="str">
        <f ca="1">IFERROR(__xludf.DUMMYFUNCTION("""COMPUTED_VALUE"""),"16/01/2025 09:00")</f>
        <v>16/01/2025 09:00</v>
      </c>
      <c r="E654" s="360"/>
      <c r="F654" s="360" t="str">
        <f ca="1">IFERROR(__xludf.DUMMYFUNCTION("""COMPUTED_VALUE"""),"14/01/2025 13:00")</f>
        <v>14/01/2025 13:00</v>
      </c>
      <c r="G654" s="360" t="str">
        <f ca="1">IFERROR(__xludf.DUMMYFUNCTION("""COMPUTED_VALUE"""),"15/01/2025 15:00")</f>
        <v>15/01/2025 15:00</v>
      </c>
      <c r="H654" s="360" t="str">
        <f ca="1">IFERROR(__xludf.DUMMYFUNCTION("""COMPUTED_VALUE"""),"15/01/2025 13:00")</f>
        <v>15/01/2025 13:00</v>
      </c>
      <c r="I654" s="362" t="str">
        <f ca="1">IFERROR(__xludf.DUMMYFUNCTION("""COMPUTED_VALUE"""),"16/01/2025 15:00")</f>
        <v>16/01/2025 15:00</v>
      </c>
      <c r="J654" s="362" t="str">
        <f ca="1">IFERROR(__xludf.DUMMYFUNCTION("""COMPUTED_VALUE"""),"17/01/2025 16:00")</f>
        <v>17/01/2025 16:00</v>
      </c>
      <c r="K654" s="362" t="str">
        <f ca="1">IFERROR(__xludf.DUMMYFUNCTION("""COMPUTED_VALUE"""),"18/01/2024 18:00")</f>
        <v>18/01/2024 18:00</v>
      </c>
      <c r="L654" s="360" t="str">
        <f ca="1">IFERROR(__xludf.DUMMYFUNCTION("""COMPUTED_VALUE"""),"19/01/2025 00:12")</f>
        <v>19/01/2025 00:12</v>
      </c>
      <c r="M654" s="360" t="str">
        <f ca="1">IFERROR(__xludf.DUMMYFUNCTION("""COMPUTED_VALUE"""),"20/01/2025 MORNING")</f>
        <v>20/01/2025 MORNING</v>
      </c>
    </row>
    <row r="655" spans="1:13" ht="18.75">
      <c r="A655" s="360"/>
      <c r="B655" s="360"/>
      <c r="C655" s="361"/>
      <c r="D655" s="360"/>
      <c r="E655" s="360"/>
      <c r="F655" s="360"/>
      <c r="G655" s="360"/>
      <c r="H655" s="360"/>
      <c r="I655" s="362"/>
      <c r="J655" s="362"/>
      <c r="K655" s="362"/>
      <c r="L655" s="360"/>
      <c r="M655" s="360"/>
    </row>
    <row r="656" spans="1:13" ht="18.75">
      <c r="A656" s="360"/>
      <c r="B656" s="360" t="str">
        <f ca="1">IFERROR(__xludf.DUMMYFUNCTION("""COMPUTED_VALUE"""),"WEEK 02/2025")</f>
        <v>WEEK 02/2025</v>
      </c>
      <c r="C656" s="361"/>
      <c r="D656" s="360"/>
      <c r="E656" s="360"/>
      <c r="F656" s="360"/>
      <c r="G656" s="360"/>
      <c r="H656" s="360"/>
      <c r="I656" s="362"/>
      <c r="J656" s="362"/>
      <c r="K656" s="362"/>
      <c r="L656" s="360"/>
      <c r="M656" s="360"/>
    </row>
    <row r="657" spans="1:13" ht="18.75">
      <c r="A657" s="360"/>
      <c r="B657" s="360"/>
      <c r="C657" s="361"/>
      <c r="D657" s="360"/>
      <c r="E657" s="360"/>
      <c r="F657" s="360"/>
      <c r="G657" s="360"/>
      <c r="H657" s="360"/>
      <c r="I657" s="362"/>
      <c r="J657" s="362"/>
      <c r="K657" s="362"/>
      <c r="L657" s="360"/>
      <c r="M657" s="360"/>
    </row>
    <row r="658" spans="1:13" ht="18.75">
      <c r="A658" s="360" t="str">
        <f ca="1">IFERROR(__xludf.DUMMYFUNCTION("""COMPUTED_VALUE"""),"SERVICE")</f>
        <v>SERVICE</v>
      </c>
      <c r="B658" s="360" t="str">
        <f ca="1">IFERROR(__xludf.DUMMYFUNCTION("""COMPUTED_VALUE"""),"VESSEL NAME")</f>
        <v>VESSEL NAME</v>
      </c>
      <c r="C658" s="361" t="str">
        <f ca="1">IFERROR(__xludf.DUMMYFUNCTION("""COMPUTED_VALUE"""),"PORT")</f>
        <v>PORT</v>
      </c>
      <c r="D658" s="360" t="str">
        <f ca="1">IFERROR(__xludf.DUMMYFUNCTION("""COMPUTED_VALUE"""),"PERFOMA ETD")</f>
        <v>PERFOMA ETD</v>
      </c>
      <c r="E658" s="360" t="str">
        <f ca="1">IFERROR(__xludf.DUMMYFUNCTION("""COMPUTED_VALUE"""),"EX.RATE/DATE/")</f>
        <v>EX.RATE/DATE/</v>
      </c>
      <c r="F658" s="360" t="str">
        <f ca="1">IFERROR(__xludf.DUMMYFUNCTION("""COMPUTED_VALUE"""),"SI CUT OFF USA")</f>
        <v>SI CUT OFF USA</v>
      </c>
      <c r="G658" s="360" t="str">
        <f ca="1">IFERROR(__xludf.DUMMYFUNCTION("""COMPUTED_VALUE"""),"SI CUT OFF")</f>
        <v>SI CUT OFF</v>
      </c>
      <c r="H658" s="360" t="str">
        <f ca="1">IFERROR(__xludf.DUMMYFUNCTION("""COMPUTED_VALUE"""),"B/L CFM USA")</f>
        <v>B/L CFM USA</v>
      </c>
      <c r="I658" s="362" t="str">
        <f ca="1">IFERROR(__xludf.DUMMYFUNCTION("""COMPUTED_VALUE"""),"B/L CFM CHINA,JP,VN")</f>
        <v>B/L CFM CHINA,JP,VN</v>
      </c>
      <c r="J658" s="362" t="str">
        <f ca="1">IFERROR(__xludf.DUMMYFUNCTION("""COMPUTED_VALUE"""),"B/L CONFIRM")</f>
        <v>B/L CONFIRM</v>
      </c>
      <c r="K658" s="362" t="str">
        <f ca="1">IFERROR(__xludf.DUMMYFUNCTION("""COMPUTED_VALUE"""),"ETD")</f>
        <v>ETD</v>
      </c>
      <c r="L658" s="360" t="str">
        <f ca="1">IFERROR(__xludf.DUMMYFUNCTION("""COMPUTED_VALUE"""),"ATD")</f>
        <v>ATD</v>
      </c>
      <c r="M658" s="360" t="str">
        <f ca="1">IFERROR(__xludf.DUMMYFUNCTION("""COMPUTED_VALUE"""),"B/L ISSUED DATE")</f>
        <v>B/L ISSUED DATE</v>
      </c>
    </row>
    <row r="659" spans="1:13" ht="18.75">
      <c r="A659" s="360"/>
      <c r="B659" s="360"/>
      <c r="C659" s="361"/>
      <c r="D659" s="360"/>
      <c r="E659" s="360" t="str">
        <f ca="1">IFERROR(__xludf.DUMMYFUNCTION("""COMPUTED_VALUE"""),"BANGKOK BANK")</f>
        <v>BANGKOK BANK</v>
      </c>
      <c r="F659" s="360" t="str">
        <f ca="1">IFERROR(__xludf.DUMMYFUNCTION("""COMPUTED_VALUE"""),"4 days before ETD")</f>
        <v>4 days before ETD</v>
      </c>
      <c r="G659" s="360"/>
      <c r="H659" s="360" t="str">
        <f ca="1">IFERROR(__xludf.DUMMYFUNCTION("""COMPUTED_VALUE"""),"3 days before ETD")</f>
        <v>3 days before ETD</v>
      </c>
      <c r="I659" s="362" t="str">
        <f ca="1">IFERROR(__xludf.DUMMYFUNCTION("""COMPUTED_VALUE"""),"Direct port CUT OFF")</f>
        <v>Direct port CUT OFF</v>
      </c>
      <c r="J659" s="362" t="str">
        <f ca="1">IFERROR(__xludf.DUMMYFUNCTION("""COMPUTED_VALUE"""),"Orther port CUT OFF")</f>
        <v>Orther port CUT OFF</v>
      </c>
      <c r="K659" s="362" t="str">
        <f ca="1">IFERROR(__xludf.DUMMYFUNCTION("""COMPUTED_VALUE"""),"B/L SHOW ON BOARD DATE")</f>
        <v>B/L SHOW ON BOARD DATE</v>
      </c>
      <c r="L659" s="360" t="str">
        <f ca="1">IFERROR(__xludf.DUMMYFUNCTION("""COMPUTED_VALUE"""),"วันเรือออกจริง")</f>
        <v>วันเรือออกจริง</v>
      </c>
      <c r="M659" s="360" t="str">
        <f ca="1">IFERROR(__xludf.DUMMYFUNCTION("""COMPUTED_VALUE"""),"วันปล่อยบีแอล")</f>
        <v>วันปล่อยบีแอล</v>
      </c>
    </row>
    <row r="660" spans="1:13" ht="18.75">
      <c r="A660" s="360"/>
      <c r="B660" s="360"/>
      <c r="C660" s="361"/>
      <c r="D660" s="360"/>
      <c r="E660" s="360"/>
      <c r="F660" s="360"/>
      <c r="G660" s="360" t="str">
        <f ca="1">IFERROR(__xludf.DUMMYFUNCTION("""COMPUTED_VALUE"""),"3 days before ETD")</f>
        <v>3 days before ETD</v>
      </c>
      <c r="H660" s="360"/>
      <c r="I660" s="362" t="str">
        <f ca="1">IFERROR(__xludf.DUMMYFUNCTION("""COMPUTED_VALUE"""),"2 days before ETD")</f>
        <v>2 days before ETD</v>
      </c>
      <c r="J660" s="362" t="str">
        <f ca="1">IFERROR(__xludf.DUMMYFUNCTION("""COMPUTED_VALUE"""),"1 days before ETD")</f>
        <v>1 days before ETD</v>
      </c>
      <c r="K660" s="362"/>
      <c r="L660" s="360"/>
      <c r="M660" s="360"/>
    </row>
    <row r="661" spans="1:13" ht="18.75">
      <c r="A661" s="360" t="str">
        <f ca="1">IFERROR(__xludf.DUMMYFUNCTION("""COMPUTED_VALUE"""),"JHTS")</f>
        <v>JHTS</v>
      </c>
      <c r="B661" s="360" t="str">
        <f ca="1">IFERROR(__xludf.DUMMYFUNCTION("""COMPUTED_VALUE"""),"TS SHENZHEN V.24027N")</f>
        <v>TS SHENZHEN V.24027N</v>
      </c>
      <c r="C661" s="361" t="str">
        <f ca="1">IFERROR(__xludf.DUMMYFUNCTION("""COMPUTED_VALUE"""),"THBKK")</f>
        <v>THBKK</v>
      </c>
      <c r="D661" s="373">
        <f ca="1">IFERROR(__xludf.DUMMYFUNCTION("""COMPUTED_VALUE"""),45778.25)</f>
        <v>45778.25</v>
      </c>
      <c r="E661" s="360" t="str">
        <f ca="1">IFERROR(__xludf.DUMMYFUNCTION("""COMPUTED_VALUE"""),"34.32 30/12/2024")</f>
        <v>34.32 30/12/2024</v>
      </c>
      <c r="F661" s="366">
        <f ca="1">IFERROR(__xludf.DUMMYFUNCTION("""COMPUTED_VALUE"""),45809.5416666666)</f>
        <v>45809.541666666599</v>
      </c>
      <c r="G661" s="366">
        <f ca="1">IFERROR(__xludf.DUMMYFUNCTION("""COMPUTED_VALUE"""),45809.625)</f>
        <v>45809.625</v>
      </c>
      <c r="H661" s="366">
        <f ca="1">IFERROR(__xludf.DUMMYFUNCTION("""COMPUTED_VALUE"""),45809.5416666666)</f>
        <v>45809.541666666599</v>
      </c>
      <c r="I661" s="369">
        <f ca="1">IFERROR(__xludf.DUMMYFUNCTION("""COMPUTED_VALUE"""),45839.625)</f>
        <v>45839.625</v>
      </c>
      <c r="J661" s="369">
        <f ca="1">IFERROR(__xludf.DUMMYFUNCTION("""COMPUTED_VALUE"""),45870.6666666666)</f>
        <v>45870.666666666599</v>
      </c>
      <c r="K661" s="370">
        <f ca="1">IFERROR(__xludf.DUMMYFUNCTION("""COMPUTED_VALUE"""),45901.2916666666)</f>
        <v>45901.291666666599</v>
      </c>
      <c r="L661" s="373">
        <f ca="1">IFERROR(__xludf.DUMMYFUNCTION("""COMPUTED_VALUE"""),45901.1666666666)</f>
        <v>45901.166666666599</v>
      </c>
      <c r="M661" s="360" t="str">
        <f ca="1">IFERROR(__xludf.DUMMYFUNCTION("""COMPUTED_VALUE"""),"09/01/2025 NOON")</f>
        <v>09/01/2025 NOON</v>
      </c>
    </row>
    <row r="662" spans="1:13" ht="18.75">
      <c r="A662" s="360"/>
      <c r="B662" s="360"/>
      <c r="C662" s="361" t="str">
        <f ca="1">IFERROR(__xludf.DUMMYFUNCTION("""COMPUTED_VALUE"""),"THLCB")</f>
        <v>THLCB</v>
      </c>
      <c r="D662" s="373">
        <f ca="1">IFERROR(__xludf.DUMMYFUNCTION("""COMPUTED_VALUE"""),45809.25)</f>
        <v>45809.25</v>
      </c>
      <c r="E662" s="360"/>
      <c r="F662" s="366">
        <f ca="1">IFERROR(__xludf.DUMMYFUNCTION("""COMPUTED_VALUE"""),45809.5416666666)</f>
        <v>45809.541666666599</v>
      </c>
      <c r="G662" s="366">
        <f ca="1">IFERROR(__xludf.DUMMYFUNCTION("""COMPUTED_VALUE"""),45809.625)</f>
        <v>45809.625</v>
      </c>
      <c r="H662" s="366">
        <f ca="1">IFERROR(__xludf.DUMMYFUNCTION("""COMPUTED_VALUE"""),45809.5416666666)</f>
        <v>45809.541666666599</v>
      </c>
      <c r="I662" s="369">
        <f ca="1">IFERROR(__xludf.DUMMYFUNCTION("""COMPUTED_VALUE"""),45839.625)</f>
        <v>45839.625</v>
      </c>
      <c r="J662" s="369">
        <f ca="1">IFERROR(__xludf.DUMMYFUNCTION("""COMPUTED_VALUE"""),45870.6666666666)</f>
        <v>45870.666666666599</v>
      </c>
      <c r="K662" s="370">
        <f ca="1">IFERROR(__xludf.DUMMYFUNCTION("""COMPUTED_VALUE"""),45901.9583333333)</f>
        <v>45901.958333333299</v>
      </c>
      <c r="L662" s="373">
        <f ca="1">IFERROR(__xludf.DUMMYFUNCTION("""COMPUTED_VALUE"""),45901.9166666666)</f>
        <v>45901.916666666599</v>
      </c>
      <c r="M662" s="360" t="str">
        <f ca="1">IFERROR(__xludf.DUMMYFUNCTION("""COMPUTED_VALUE"""),"10/01/2025 MORNING")</f>
        <v>10/01/2025 MORNING</v>
      </c>
    </row>
    <row r="663" spans="1:13" ht="18.75">
      <c r="A663" s="360" t="str">
        <f ca="1">IFERROR(__xludf.DUMMYFUNCTION("""COMPUTED_VALUE"""),"TRX")</f>
        <v>TRX</v>
      </c>
      <c r="B663" s="360" t="str">
        <f ca="1">IFERROR(__xludf.DUMMYFUNCTION("""COMPUTED_VALUE"""),"TS NAGOYA V.24020N")</f>
        <v>TS NAGOYA V.24020N</v>
      </c>
      <c r="C663" s="361" t="str">
        <f ca="1">IFERROR(__xludf.DUMMYFUNCTION("""COMPUTED_VALUE"""),"THBKK")</f>
        <v>THBKK</v>
      </c>
      <c r="D663" s="373">
        <f ca="1">IFERROR(__xludf.DUMMYFUNCTION("""COMPUTED_VALUE"""),45839.8125)</f>
        <v>45839.8125</v>
      </c>
      <c r="E663" s="360" t="str">
        <f ca="1">IFERROR(__xludf.DUMMYFUNCTION("""COMPUTED_VALUE"""),"34.49  02/01/2025")</f>
        <v>34.49  02/01/2025</v>
      </c>
      <c r="F663" s="366">
        <f ca="1">IFERROR(__xludf.DUMMYFUNCTION("""COMPUTED_VALUE"""),45839.5416666666)</f>
        <v>45839.541666666599</v>
      </c>
      <c r="G663" s="366">
        <f ca="1">IFERROR(__xludf.DUMMYFUNCTION("""COMPUTED_VALUE"""),45870.625)</f>
        <v>45870.625</v>
      </c>
      <c r="H663" s="366">
        <f ca="1">IFERROR(__xludf.DUMMYFUNCTION("""COMPUTED_VALUE"""),45870.5416666666)</f>
        <v>45870.541666666599</v>
      </c>
      <c r="I663" s="369">
        <f ca="1">IFERROR(__xludf.DUMMYFUNCTION("""COMPUTED_VALUE"""),45901.625)</f>
        <v>45901.625</v>
      </c>
      <c r="J663" s="369">
        <f ca="1">IFERROR(__xludf.DUMMYFUNCTION("""COMPUTED_VALUE"""),45931.6666666666)</f>
        <v>45931.666666666599</v>
      </c>
      <c r="K663" s="370">
        <f ca="1">IFERROR(__xludf.DUMMYFUNCTION("""COMPUTED_VALUE"""),45962.0416666666)</f>
        <v>45962.041666666599</v>
      </c>
      <c r="L663" s="373">
        <f ca="1">IFERROR(__xludf.DUMMYFUNCTION("""COMPUTED_VALUE"""),45931.9583333333)</f>
        <v>45931.958333333299</v>
      </c>
      <c r="M663" s="360" t="str">
        <f ca="1">IFERROR(__xludf.DUMMYFUNCTION("""COMPUTED_VALUE"""),"13/01/2025 MORNING")</f>
        <v>13/01/2025 MORNING</v>
      </c>
    </row>
    <row r="664" spans="1:13" ht="18.75">
      <c r="A664" s="360"/>
      <c r="B664" s="360"/>
      <c r="C664" s="361" t="str">
        <f ca="1">IFERROR(__xludf.DUMMYFUNCTION("""COMPUTED_VALUE"""),"THLCB")</f>
        <v>THLCB</v>
      </c>
      <c r="D664" s="373">
        <f ca="1">IFERROR(__xludf.DUMMYFUNCTION("""COMPUTED_VALUE"""),45870.375)</f>
        <v>45870.375</v>
      </c>
      <c r="E664" s="360"/>
      <c r="F664" s="366">
        <f ca="1">IFERROR(__xludf.DUMMYFUNCTION("""COMPUTED_VALUE"""),45839.5416666666)</f>
        <v>45839.541666666599</v>
      </c>
      <c r="G664" s="366">
        <f ca="1">IFERROR(__xludf.DUMMYFUNCTION("""COMPUTED_VALUE"""),45870.625)</f>
        <v>45870.625</v>
      </c>
      <c r="H664" s="366">
        <f ca="1">IFERROR(__xludf.DUMMYFUNCTION("""COMPUTED_VALUE"""),45870.5416666666)</f>
        <v>45870.541666666599</v>
      </c>
      <c r="I664" s="369">
        <f ca="1">IFERROR(__xludf.DUMMYFUNCTION("""COMPUTED_VALUE"""),45901.625)</f>
        <v>45901.625</v>
      </c>
      <c r="J664" s="369">
        <f ca="1">IFERROR(__xludf.DUMMYFUNCTION("""COMPUTED_VALUE"""),45931.6666666666)</f>
        <v>45931.666666666599</v>
      </c>
      <c r="K664" s="370">
        <f ca="1">IFERROR(__xludf.DUMMYFUNCTION("""COMPUTED_VALUE"""),45992.7083333333)</f>
        <v>45992.708333333299</v>
      </c>
      <c r="L664" s="373">
        <f ca="1">IFERROR(__xludf.DUMMYFUNCTION("""COMPUTED_VALUE"""),45992.5625)</f>
        <v>45992.5625</v>
      </c>
      <c r="M664" s="360" t="str">
        <f ca="1">IFERROR(__xludf.DUMMYFUNCTION("""COMPUTED_VALUE"""),"13/01/2025 MORNING")</f>
        <v>13/01/2025 MORNING</v>
      </c>
    </row>
    <row r="665" spans="1:13" ht="18.75">
      <c r="A665" s="360" t="str">
        <f ca="1">IFERROR(__xludf.DUMMYFUNCTION("""COMPUTED_VALUE"""),"CHT")</f>
        <v>CHT</v>
      </c>
      <c r="B665" s="360" t="str">
        <f ca="1">IFERROR(__xludf.DUMMYFUNCTION("""COMPUTED_VALUE"""),"TS TIANJIN V.24013N")</f>
        <v>TS TIANJIN V.24013N</v>
      </c>
      <c r="C665" s="361" t="str">
        <f ca="1">IFERROR(__xludf.DUMMYFUNCTION("""COMPUTED_VALUE"""),"THBKK")</f>
        <v>THBKK</v>
      </c>
      <c r="D665" s="373">
        <f ca="1">IFERROR(__xludf.DUMMYFUNCTION("""COMPUTED_VALUE"""),45658.75)</f>
        <v>45658.75</v>
      </c>
      <c r="E665" s="360" t="str">
        <f ca="1">IFERROR(__xludf.DUMMYFUNCTION("""COMPUTED_VALUE"""),"34.49 02/01/2025")</f>
        <v>34.49 02/01/2025</v>
      </c>
      <c r="F665" s="366">
        <f ca="1">IFERROR(__xludf.DUMMYFUNCTION("""COMPUTED_VALUE"""),45809.5416666666)</f>
        <v>45809.541666666599</v>
      </c>
      <c r="G665" s="366">
        <f ca="1">IFERROR(__xludf.DUMMYFUNCTION("""COMPUTED_VALUE"""),45839.625)</f>
        <v>45839.625</v>
      </c>
      <c r="H665" s="366">
        <f ca="1">IFERROR(__xludf.DUMMYFUNCTION("""COMPUTED_VALUE"""),45839.5416666666)</f>
        <v>45839.541666666599</v>
      </c>
      <c r="I665" s="369">
        <f ca="1">IFERROR(__xludf.DUMMYFUNCTION("""COMPUTED_VALUE"""),45870.625)</f>
        <v>45870.625</v>
      </c>
      <c r="J665" s="369">
        <f ca="1">IFERROR(__xludf.DUMMYFUNCTION("""COMPUTED_VALUE"""),45901.6666666666)</f>
        <v>45901.666666666599</v>
      </c>
      <c r="K665" s="370">
        <f ca="1">IFERROR(__xludf.DUMMYFUNCTION("""COMPUTED_VALUE"""),45931.0416666666)</f>
        <v>45931.041666666599</v>
      </c>
      <c r="L665" s="373">
        <f ca="1">IFERROR(__xludf.DUMMYFUNCTION("""COMPUTED_VALUE"""),45901.9958333333)</f>
        <v>45901.995833333298</v>
      </c>
      <c r="M665" s="360" t="str">
        <f ca="1">IFERROR(__xludf.DUMMYFUNCTION("""COMPUTED_VALUE"""),"10/01/2025 NOON")</f>
        <v>10/01/2025 NOON</v>
      </c>
    </row>
    <row r="666" spans="1:13" ht="18.75">
      <c r="A666" s="360"/>
      <c r="B666" s="360"/>
      <c r="C666" s="361" t="str">
        <f ca="1">IFERROR(__xludf.DUMMYFUNCTION("""COMPUTED_VALUE"""),"THLCB")</f>
        <v>THLCB</v>
      </c>
      <c r="D666" s="373">
        <f ca="1">IFERROR(__xludf.DUMMYFUNCTION("""COMPUTED_VALUE"""),45689.5)</f>
        <v>45689.5</v>
      </c>
      <c r="E666" s="360"/>
      <c r="F666" s="366">
        <f ca="1">IFERROR(__xludf.DUMMYFUNCTION("""COMPUTED_VALUE"""),45839.5416666666)</f>
        <v>45839.541666666599</v>
      </c>
      <c r="G666" s="366">
        <f ca="1">IFERROR(__xludf.DUMMYFUNCTION("""COMPUTED_VALUE"""),45870.625)</f>
        <v>45870.625</v>
      </c>
      <c r="H666" s="366">
        <f ca="1">IFERROR(__xludf.DUMMYFUNCTION("""COMPUTED_VALUE"""),45870.5416666666)</f>
        <v>45870.541666666599</v>
      </c>
      <c r="I666" s="369">
        <f ca="1">IFERROR(__xludf.DUMMYFUNCTION("""COMPUTED_VALUE"""),45901.625)</f>
        <v>45901.625</v>
      </c>
      <c r="J666" s="369">
        <f ca="1">IFERROR(__xludf.DUMMYFUNCTION("""COMPUTED_VALUE"""),45931.6666666666)</f>
        <v>45931.666666666599</v>
      </c>
      <c r="K666" s="370">
        <f ca="1">IFERROR(__xludf.DUMMYFUNCTION("""COMPUTED_VALUE"""),45962.3333333333)</f>
        <v>45962.333333333299</v>
      </c>
      <c r="L666" s="373">
        <f ca="1">IFERROR(__xludf.DUMMYFUNCTION("""COMPUTED_VALUE"""),45962.3333333333)</f>
        <v>45962.333333333299</v>
      </c>
      <c r="M666" s="360" t="str">
        <f ca="1">IFERROR(__xludf.DUMMYFUNCTION("""COMPUTED_VALUE"""),"13/01/2025 MORNING")</f>
        <v>13/01/2025 MORNING</v>
      </c>
    </row>
    <row r="667" spans="1:13" ht="18.75">
      <c r="A667" s="360"/>
      <c r="B667" s="360"/>
      <c r="C667" s="361"/>
      <c r="D667" s="360"/>
      <c r="E667" s="360"/>
      <c r="F667" s="360"/>
      <c r="G667" s="360"/>
      <c r="H667" s="360"/>
      <c r="I667" s="362"/>
      <c r="J667" s="362"/>
      <c r="K667" s="362"/>
      <c r="L667" s="360"/>
      <c r="M667" s="360"/>
    </row>
    <row r="668" spans="1:13" ht="18.75">
      <c r="A668" s="360"/>
      <c r="B668" s="360" t="str">
        <f ca="1">IFERROR(__xludf.DUMMYFUNCTION("""COMPUTED_VALUE"""),"WEEK 01/2025")</f>
        <v>WEEK 01/2025</v>
      </c>
      <c r="C668" s="361" t="str">
        <f ca="1">IFERROR(__xludf.DUMMYFUNCTION("""COMPUTED_VALUE"""),"31/12/2024 Holiday New Year’s Eve")</f>
        <v>31/12/2024 Holiday New Year’s Eve</v>
      </c>
      <c r="D668" s="360"/>
      <c r="E668" s="360"/>
      <c r="F668" s="360"/>
      <c r="G668" s="360"/>
      <c r="H668" s="360"/>
      <c r="I668" s="362"/>
      <c r="J668" s="362"/>
      <c r="K668" s="362"/>
      <c r="L668" s="360"/>
      <c r="M668" s="360"/>
    </row>
    <row r="669" spans="1:13" ht="18.75">
      <c r="A669" s="360"/>
      <c r="B669" s="360"/>
      <c r="C669" s="361" t="str">
        <f ca="1">IFERROR(__xludf.DUMMYFUNCTION("""COMPUTED_VALUE"""),"01/01/2025 Holiday New Year")</f>
        <v>01/01/2025 Holiday New Year</v>
      </c>
      <c r="D669" s="360"/>
      <c r="E669" s="360"/>
      <c r="F669" s="360"/>
      <c r="G669" s="360"/>
      <c r="H669" s="360"/>
      <c r="I669" s="362"/>
      <c r="J669" s="362"/>
      <c r="K669" s="362"/>
      <c r="L669" s="360"/>
      <c r="M669" s="360"/>
    </row>
    <row r="670" spans="1:13" ht="18.75">
      <c r="A670" s="360" t="str">
        <f ca="1">IFERROR(__xludf.DUMMYFUNCTION("""COMPUTED_VALUE"""),"SERVICE")</f>
        <v>SERVICE</v>
      </c>
      <c r="B670" s="360" t="str">
        <f ca="1">IFERROR(__xludf.DUMMYFUNCTION("""COMPUTED_VALUE"""),"VESSEL NAME")</f>
        <v>VESSEL NAME</v>
      </c>
      <c r="C670" s="361" t="str">
        <f ca="1">IFERROR(__xludf.DUMMYFUNCTION("""COMPUTED_VALUE"""),"PORT")</f>
        <v>PORT</v>
      </c>
      <c r="D670" s="360" t="str">
        <f ca="1">IFERROR(__xludf.DUMMYFUNCTION("""COMPUTED_VALUE"""),"PERFOMA ETD")</f>
        <v>PERFOMA ETD</v>
      </c>
      <c r="E670" s="360" t="str">
        <f ca="1">IFERROR(__xludf.DUMMYFUNCTION("""COMPUTED_VALUE"""),"EX.RATE/DATE/")</f>
        <v>EX.RATE/DATE/</v>
      </c>
      <c r="F670" s="360" t="str">
        <f ca="1">IFERROR(__xludf.DUMMYFUNCTION("""COMPUTED_VALUE"""),"SI CUT OFF USA")</f>
        <v>SI CUT OFF USA</v>
      </c>
      <c r="G670" s="360" t="str">
        <f ca="1">IFERROR(__xludf.DUMMYFUNCTION("""COMPUTED_VALUE"""),"SI CUT OFF")</f>
        <v>SI CUT OFF</v>
      </c>
      <c r="H670" s="360" t="str">
        <f ca="1">IFERROR(__xludf.DUMMYFUNCTION("""COMPUTED_VALUE"""),"B/L CFM USA")</f>
        <v>B/L CFM USA</v>
      </c>
      <c r="I670" s="362" t="str">
        <f ca="1">IFERROR(__xludf.DUMMYFUNCTION("""COMPUTED_VALUE"""),"B/L CFM CHINA,JP,VN")</f>
        <v>B/L CFM CHINA,JP,VN</v>
      </c>
      <c r="J670" s="362" t="str">
        <f ca="1">IFERROR(__xludf.DUMMYFUNCTION("""COMPUTED_VALUE"""),"B/L CONFIRM")</f>
        <v>B/L CONFIRM</v>
      </c>
      <c r="K670" s="362" t="str">
        <f ca="1">IFERROR(__xludf.DUMMYFUNCTION("""COMPUTED_VALUE"""),"ETD")</f>
        <v>ETD</v>
      </c>
      <c r="L670" s="360" t="str">
        <f ca="1">IFERROR(__xludf.DUMMYFUNCTION("""COMPUTED_VALUE"""),"ATD")</f>
        <v>ATD</v>
      </c>
      <c r="M670" s="360" t="str">
        <f ca="1">IFERROR(__xludf.DUMMYFUNCTION("""COMPUTED_VALUE"""),"B/L ISSUED DATE")</f>
        <v>B/L ISSUED DATE</v>
      </c>
    </row>
    <row r="671" spans="1:13" ht="18.75">
      <c r="A671" s="360"/>
      <c r="B671" s="360"/>
      <c r="C671" s="361"/>
      <c r="D671" s="360"/>
      <c r="E671" s="360" t="str">
        <f ca="1">IFERROR(__xludf.DUMMYFUNCTION("""COMPUTED_VALUE"""),"BANGKOK BANK")</f>
        <v>BANGKOK BANK</v>
      </c>
      <c r="F671" s="360" t="str">
        <f ca="1">IFERROR(__xludf.DUMMYFUNCTION("""COMPUTED_VALUE"""),"4 days before ETD")</f>
        <v>4 days before ETD</v>
      </c>
      <c r="G671" s="360"/>
      <c r="H671" s="360" t="str">
        <f ca="1">IFERROR(__xludf.DUMMYFUNCTION("""COMPUTED_VALUE"""),"3 days before ETD")</f>
        <v>3 days before ETD</v>
      </c>
      <c r="I671" s="362" t="str">
        <f ca="1">IFERROR(__xludf.DUMMYFUNCTION("""COMPUTED_VALUE"""),"Direct port CUT OFF")</f>
        <v>Direct port CUT OFF</v>
      </c>
      <c r="J671" s="362" t="str">
        <f ca="1">IFERROR(__xludf.DUMMYFUNCTION("""COMPUTED_VALUE"""),"Orther port CUT OFF")</f>
        <v>Orther port CUT OFF</v>
      </c>
      <c r="K671" s="362" t="str">
        <f ca="1">IFERROR(__xludf.DUMMYFUNCTION("""COMPUTED_VALUE"""),"B/L SHOW ON BOARD DATE")</f>
        <v>B/L SHOW ON BOARD DATE</v>
      </c>
      <c r="L671" s="360" t="str">
        <f ca="1">IFERROR(__xludf.DUMMYFUNCTION("""COMPUTED_VALUE"""),"วันเรือออกจริง")</f>
        <v>วันเรือออกจริง</v>
      </c>
      <c r="M671" s="360" t="str">
        <f ca="1">IFERROR(__xludf.DUMMYFUNCTION("""COMPUTED_VALUE"""),"วันปล่อยบีแอล")</f>
        <v>วันปล่อยบีแอล</v>
      </c>
    </row>
    <row r="672" spans="1:13" ht="18.75">
      <c r="A672" s="360"/>
      <c r="B672" s="360"/>
      <c r="C672" s="361"/>
      <c r="D672" s="360"/>
      <c r="E672" s="360"/>
      <c r="F672" s="360"/>
      <c r="G672" s="360" t="str">
        <f ca="1">IFERROR(__xludf.DUMMYFUNCTION("""COMPUTED_VALUE"""),"3 days before ETD")</f>
        <v>3 days before ETD</v>
      </c>
      <c r="H672" s="360"/>
      <c r="I672" s="362" t="str">
        <f ca="1">IFERROR(__xludf.DUMMYFUNCTION("""COMPUTED_VALUE"""),"2 days before ETD")</f>
        <v>2 days before ETD</v>
      </c>
      <c r="J672" s="362" t="str">
        <f ca="1">IFERROR(__xludf.DUMMYFUNCTION("""COMPUTED_VALUE"""),"1 days before ETD")</f>
        <v>1 days before ETD</v>
      </c>
      <c r="K672" s="362"/>
      <c r="L672" s="360"/>
      <c r="M672" s="360"/>
    </row>
    <row r="673" spans="1:13" ht="18.75">
      <c r="A673" s="360" t="str">
        <f ca="1">IFERROR(__xludf.DUMMYFUNCTION("""COMPUTED_VALUE"""),"JHTS")</f>
        <v>JHTS</v>
      </c>
      <c r="B673" s="360" t="str">
        <f ca="1">IFERROR(__xludf.DUMMYFUNCTION("""COMPUTED_VALUE"""),"TS MAWEI V.24030N")</f>
        <v>TS MAWEI V.24030N</v>
      </c>
      <c r="C673" s="361" t="str">
        <f ca="1">IFERROR(__xludf.DUMMYFUNCTION("""COMPUTED_VALUE"""),"THBKK")</f>
        <v>THBKK</v>
      </c>
      <c r="D673" s="373" t="str">
        <f ca="1">IFERROR(__xludf.DUMMYFUNCTION("""COMPUTED_VALUE"""),"29/12/2024 06:00")</f>
        <v>29/12/2024 06:00</v>
      </c>
      <c r="E673" s="360" t="str">
        <f ca="1">IFERROR(__xludf.DUMMYFUNCTION("""COMPUTED_VALUE"""),"34.74 20/12/2024")</f>
        <v>34.74 20/12/2024</v>
      </c>
      <c r="F673" s="360" t="str">
        <f ca="1">IFERROR(__xludf.DUMMYFUNCTION("""COMPUTED_VALUE"""),"25/12/2024 13:00")</f>
        <v>25/12/2024 13:00</v>
      </c>
      <c r="G673" s="360" t="str">
        <f ca="1">IFERROR(__xludf.DUMMYFUNCTION("""COMPUTED_VALUE"""),"26/12/2024 15:00")</f>
        <v>26/12/2024 15:00</v>
      </c>
      <c r="H673" s="360" t="str">
        <f ca="1">IFERROR(__xludf.DUMMYFUNCTION("""COMPUTED_VALUE"""),"26/12/2024 13:00")</f>
        <v>26/12/2024 13:00</v>
      </c>
      <c r="I673" s="362" t="str">
        <f ca="1">IFERROR(__xludf.DUMMYFUNCTION("""COMPUTED_VALUE"""),"27/12/2024 15:00")</f>
        <v>27/12/2024 15:00</v>
      </c>
      <c r="J673" s="362" t="str">
        <f ca="1">IFERROR(__xludf.DUMMYFUNCTION("""COMPUTED_VALUE"""),"27/12/2024 16:00")</f>
        <v>27/12/2024 16:00</v>
      </c>
      <c r="K673" s="370" t="str">
        <f ca="1">IFERROR(__xludf.DUMMYFUNCTION("""COMPUTED_VALUE"""),"30/12/2024 22:00")</f>
        <v>30/12/2024 22:00</v>
      </c>
      <c r="L673" s="373" t="str">
        <f ca="1">IFERROR(__xludf.DUMMYFUNCTION("""COMPUTED_VALUE"""),"30/12/2024  12:00")</f>
        <v>30/12/2024  12:00</v>
      </c>
      <c r="M673" s="360" t="str">
        <f ca="1">IFERROR(__xludf.DUMMYFUNCTION("""COMPUTED_VALUE"""),"30/12/2024 NOON")</f>
        <v>30/12/2024 NOON</v>
      </c>
    </row>
    <row r="674" spans="1:13" ht="18.75">
      <c r="A674" s="360"/>
      <c r="B674" s="360"/>
      <c r="C674" s="361" t="str">
        <f ca="1">IFERROR(__xludf.DUMMYFUNCTION("""COMPUTED_VALUE"""),"THLCB")</f>
        <v>THLCB</v>
      </c>
      <c r="D674" s="373" t="str">
        <f ca="1">IFERROR(__xludf.DUMMYFUNCTION("""COMPUTED_VALUE"""),"30/12/2024 06:00")</f>
        <v>30/12/2024 06:00</v>
      </c>
      <c r="E674" s="360"/>
      <c r="F674" s="360" t="str">
        <f ca="1">IFERROR(__xludf.DUMMYFUNCTION("""COMPUTED_VALUE"""),"27/12/2024 13:00")</f>
        <v>27/12/2024 13:00</v>
      </c>
      <c r="G674" s="360" t="str">
        <f ca="1">IFERROR(__xludf.DUMMYFUNCTION("""COMPUTED_VALUE"""),"27/12/2024 15:00")</f>
        <v>27/12/2024 15:00</v>
      </c>
      <c r="H674" s="360" t="str">
        <f ca="1">IFERROR(__xludf.DUMMYFUNCTION("""COMPUTED_VALUE"""),"27/12/2024 13:00")</f>
        <v>27/12/2024 13:00</v>
      </c>
      <c r="I674" s="362" t="str">
        <f ca="1">IFERROR(__xludf.DUMMYFUNCTION("""COMPUTED_VALUE"""),"27/12/2024 15:00")</f>
        <v>27/12/2024 15:00</v>
      </c>
      <c r="J674" s="362" t="str">
        <f ca="1">IFERROR(__xludf.DUMMYFUNCTION("""COMPUTED_VALUE"""),"30/12/2024 16:00")</f>
        <v>30/12/2024 16:00</v>
      </c>
      <c r="K674" s="370" t="str">
        <f ca="1">IFERROR(__xludf.DUMMYFUNCTION("""COMPUTED_VALUE"""),"31/12/2024 18:00")</f>
        <v>31/12/2024 18:00</v>
      </c>
      <c r="L674" s="373" t="str">
        <f ca="1">IFERROR(__xludf.DUMMYFUNCTION("""COMPUTED_VALUE"""),"31/12/2024  03:00")</f>
        <v>31/12/2024  03:00</v>
      </c>
      <c r="M674" s="360" t="str">
        <f ca="1">IFERROR(__xludf.DUMMYFUNCTION("""COMPUTED_VALUE"""),"02/01/2025 MORNING")</f>
        <v>02/01/2025 MORNING</v>
      </c>
    </row>
    <row r="675" spans="1:13" ht="18.75">
      <c r="A675" s="360" t="str">
        <f ca="1">IFERROR(__xludf.DUMMYFUNCTION("""COMPUTED_VALUE"""),"TRX")</f>
        <v>TRX</v>
      </c>
      <c r="B675" s="360" t="str">
        <f ca="1">IFERROR(__xludf.DUMMYFUNCTION("""COMPUTED_VALUE"""),"GREEN EARTH V.003N")</f>
        <v>GREEN EARTH V.003N</v>
      </c>
      <c r="C675" s="361" t="str">
        <f ca="1">IFERROR(__xludf.DUMMYFUNCTION("""COMPUTED_VALUE"""),"THBKK")</f>
        <v>THBKK</v>
      </c>
      <c r="D675" s="373" t="str">
        <f ca="1">IFERROR(__xludf.DUMMYFUNCTION("""COMPUTED_VALUE"""),"31/12/2024 19:30")</f>
        <v>31/12/2024 19:30</v>
      </c>
      <c r="E675" s="360" t="str">
        <f ca="1">IFERROR(__xludf.DUMMYFUNCTION("""COMPUTED_VALUE"""),"34.47 26/12/2024")</f>
        <v>34.47 26/12/2024</v>
      </c>
      <c r="F675" s="360" t="str">
        <f ca="1">IFERROR(__xludf.DUMMYFUNCTION("""COMPUTED_VALUE"""),"27/12/2024 13:00")</f>
        <v>27/12/2024 13:00</v>
      </c>
      <c r="G675" s="360" t="str">
        <f ca="1">IFERROR(__xludf.DUMMYFUNCTION("""COMPUTED_VALUE"""),"30/12/2024 15:00")</f>
        <v>30/12/2024 15:00</v>
      </c>
      <c r="H675" s="360" t="str">
        <f ca="1">IFERROR(__xludf.DUMMYFUNCTION("""COMPUTED_VALUE"""),"30/12/2024 13:00")</f>
        <v>30/12/2024 13:00</v>
      </c>
      <c r="I675" s="362" t="str">
        <f ca="1">IFERROR(__xludf.DUMMYFUNCTION("""COMPUTED_VALUE"""),"30/12/2024 15:00")</f>
        <v>30/12/2024 15:00</v>
      </c>
      <c r="J675" s="369">
        <f ca="1">IFERROR(__xludf.DUMMYFUNCTION("""COMPUTED_VALUE"""),45717.6666666666)</f>
        <v>45717.666666666599</v>
      </c>
      <c r="K675" s="370">
        <f ca="1">IFERROR(__xludf.DUMMYFUNCTION("""COMPUTED_VALUE"""),45748.375)</f>
        <v>45748.375</v>
      </c>
      <c r="L675" s="373">
        <f ca="1">IFERROR(__xludf.DUMMYFUNCTION("""COMPUTED_VALUE"""),45748.2083333333)</f>
        <v>45748.208333333299</v>
      </c>
      <c r="M675" s="360" t="str">
        <f ca="1">IFERROR(__xludf.DUMMYFUNCTION("""COMPUTED_VALUE"""),"06/01/2025 MORNING")</f>
        <v>06/01/2025 MORNING</v>
      </c>
    </row>
    <row r="676" spans="1:13" ht="18.75">
      <c r="A676" s="360"/>
      <c r="B676" s="360"/>
      <c r="C676" s="361" t="str">
        <f ca="1">IFERROR(__xludf.DUMMYFUNCTION("""COMPUTED_VALUE"""),"THLCB")</f>
        <v>THLCB</v>
      </c>
      <c r="D676" s="373">
        <f ca="1">IFERROR(__xludf.DUMMYFUNCTION("""COMPUTED_VALUE"""),45689.375)</f>
        <v>45689.375</v>
      </c>
      <c r="E676" s="360"/>
      <c r="F676" s="360" t="str">
        <f ca="1">IFERROR(__xludf.DUMMYFUNCTION("""COMPUTED_VALUE"""),"27/12/2024 13:00")</f>
        <v>27/12/2024 13:00</v>
      </c>
      <c r="G676" s="360" t="str">
        <f ca="1">IFERROR(__xludf.DUMMYFUNCTION("""COMPUTED_VALUE"""),"30/12/2024 15:00")</f>
        <v>30/12/2024 15:00</v>
      </c>
      <c r="H676" s="360" t="str">
        <f ca="1">IFERROR(__xludf.DUMMYFUNCTION("""COMPUTED_VALUE"""),"30/12/2024 13:00")</f>
        <v>30/12/2024 13:00</v>
      </c>
      <c r="I676" s="369">
        <f ca="1">IFERROR(__xludf.DUMMYFUNCTION("""COMPUTED_VALUE"""),45689.625)</f>
        <v>45689.625</v>
      </c>
      <c r="J676" s="369">
        <f ca="1">IFERROR(__xludf.DUMMYFUNCTION("""COMPUTED_VALUE"""),45748.6666666666)</f>
        <v>45748.666666666599</v>
      </c>
      <c r="K676" s="370">
        <f ca="1">IFERROR(__xludf.DUMMYFUNCTION("""COMPUTED_VALUE"""),45413.0416666666)</f>
        <v>45413.041666666599</v>
      </c>
      <c r="L676" s="373">
        <f ca="1">IFERROR(__xludf.DUMMYFUNCTION("""COMPUTED_VALUE"""),45383.9875)</f>
        <v>45383.987500000003</v>
      </c>
      <c r="M676" s="360" t="str">
        <f ca="1">IFERROR(__xludf.DUMMYFUNCTION("""COMPUTED_VALUE"""),"06/01/2025 MORNING")</f>
        <v>06/01/2025 MORNING</v>
      </c>
    </row>
    <row r="677" spans="1:13" ht="18.75">
      <c r="A677" s="360" t="str">
        <f ca="1">IFERROR(__xludf.DUMMYFUNCTION("""COMPUTED_VALUE"""),"CHT")</f>
        <v>CHT</v>
      </c>
      <c r="B677" s="360" t="str">
        <f ca="1">IFERROR(__xludf.DUMMYFUNCTION("""COMPUTED_VALUE"""),"SAWASDEE RIGEL V.2414N")</f>
        <v>SAWASDEE RIGEL V.2414N</v>
      </c>
      <c r="C677" s="361" t="str">
        <f ca="1">IFERROR(__xludf.DUMMYFUNCTION("""COMPUTED_VALUE"""),"THBKK")</f>
        <v>THBKK</v>
      </c>
      <c r="D677" s="373" t="str">
        <f ca="1">IFERROR(__xludf.DUMMYFUNCTION("""COMPUTED_VALUE"""),"18/12/2024 18:00")</f>
        <v>18/12/2024 18:00</v>
      </c>
      <c r="E677" s="360" t="str">
        <f ca="1">IFERROR(__xludf.DUMMYFUNCTION("""COMPUTED_VALUE"""),"34.34  27/12/2024")</f>
        <v>34.34  27/12/2024</v>
      </c>
      <c r="F677" s="360" t="str">
        <f ca="1">IFERROR(__xludf.DUMMYFUNCTION("""COMPUTED_VALUE"""),"27/12/2024 13:00")</f>
        <v>27/12/2024 13:00</v>
      </c>
      <c r="G677" s="360" t="str">
        <f ca="1">IFERROR(__xludf.DUMMYFUNCTION("""COMPUTED_VALUE"""),"30/12/2024 15:00")</f>
        <v>30/12/2024 15:00</v>
      </c>
      <c r="H677" s="360" t="str">
        <f ca="1">IFERROR(__xludf.DUMMYFUNCTION("""COMPUTED_VALUE"""),"30/12/2024 13:00")</f>
        <v>30/12/2024 13:00</v>
      </c>
      <c r="I677" s="369">
        <f ca="1">IFERROR(__xludf.DUMMYFUNCTION("""COMPUTED_VALUE"""),45689.625)</f>
        <v>45689.625</v>
      </c>
      <c r="J677" s="369">
        <f ca="1">IFERROR(__xludf.DUMMYFUNCTION("""COMPUTED_VALUE"""),45748.6666666666)</f>
        <v>45748.666666666599</v>
      </c>
      <c r="K677" s="370">
        <f ca="1">IFERROR(__xludf.DUMMYFUNCTION("""COMPUTED_VALUE"""),45778.5)</f>
        <v>45778.5</v>
      </c>
      <c r="L677" s="373">
        <f ca="1">IFERROR(__xludf.DUMMYFUNCTION("""COMPUTED_VALUE"""),45778.6666666666)</f>
        <v>45778.666666666599</v>
      </c>
      <c r="M677" s="360" t="str">
        <f ca="1">IFERROR(__xludf.DUMMYFUNCTION("""COMPUTED_VALUE"""),"06/01/2025 MORNING")</f>
        <v>06/01/2025 MORNING</v>
      </c>
    </row>
    <row r="678" spans="1:13" ht="18.75">
      <c r="A678" s="360"/>
      <c r="B678" s="360"/>
      <c r="C678" s="361" t="str">
        <f ca="1">IFERROR(__xludf.DUMMYFUNCTION("""COMPUTED_VALUE"""),"THLCB")</f>
        <v>THLCB</v>
      </c>
      <c r="D678" s="373" t="str">
        <f ca="1">IFERROR(__xludf.DUMMYFUNCTION("""COMPUTED_VALUE"""),"19/12/2024 12:00")</f>
        <v>19/12/2024 12:00</v>
      </c>
      <c r="E678" s="360"/>
      <c r="F678" s="360" t="str">
        <f ca="1">IFERROR(__xludf.DUMMYFUNCTION("""COMPUTED_VALUE"""),"27/12/2024 13:00")</f>
        <v>27/12/2024 13:00</v>
      </c>
      <c r="G678" s="360" t="str">
        <f ca="1">IFERROR(__xludf.DUMMYFUNCTION("""COMPUTED_VALUE"""),"30/12/2024 15:00")</f>
        <v>30/12/2024 15:00</v>
      </c>
      <c r="H678" s="360" t="str">
        <f ca="1">IFERROR(__xludf.DUMMYFUNCTION("""COMPUTED_VALUE"""),"30/12/2024 13:00")</f>
        <v>30/12/2024 13:00</v>
      </c>
      <c r="I678" s="369">
        <f ca="1">IFERROR(__xludf.DUMMYFUNCTION("""COMPUTED_VALUE"""),45689.625)</f>
        <v>45689.625</v>
      </c>
      <c r="J678" s="369">
        <f ca="1">IFERROR(__xludf.DUMMYFUNCTION("""COMPUTED_VALUE"""),45748.6666666666)</f>
        <v>45748.666666666599</v>
      </c>
      <c r="K678" s="370">
        <f ca="1">IFERROR(__xludf.DUMMYFUNCTION("""COMPUTED_VALUE"""),45809.5)</f>
        <v>45809.5</v>
      </c>
      <c r="L678" s="373">
        <f ca="1">IFERROR(__xludf.DUMMYFUNCTION("""COMPUTED_VALUE"""),45809.375)</f>
        <v>45809.375</v>
      </c>
      <c r="M678" s="360" t="str">
        <f ca="1">IFERROR(__xludf.DUMMYFUNCTION("""COMPUTED_VALUE"""),"06/01/2025 NOON")</f>
        <v>06/01/2025 NOON</v>
      </c>
    </row>
    <row r="679" spans="1:13" ht="18.75">
      <c r="A679" s="360" t="str">
        <f ca="1">IFERROR(__xludf.DUMMYFUNCTION("""COMPUTED_VALUE"""),"CVT")</f>
        <v>CVT</v>
      </c>
      <c r="B679" s="360" t="str">
        <f ca="1">IFERROR(__xludf.DUMMYFUNCTION("""COMPUTED_VALUE"""),"TS QINGDAO V.24015N")</f>
        <v>TS QINGDAO V.24015N</v>
      </c>
      <c r="C679" s="361" t="str">
        <f ca="1">IFERROR(__xludf.DUMMYFUNCTION("""COMPUTED_VALUE"""),"THBKK")</f>
        <v>THBKK</v>
      </c>
      <c r="D679" s="373" t="str">
        <f ca="1">IFERROR(__xludf.DUMMYFUNCTION("""COMPUTED_VALUE"""),"26/12/2024 08:00")</f>
        <v>26/12/2024 08:00</v>
      </c>
      <c r="E679" s="360" t="str">
        <f ca="1">IFERROR(__xludf.DUMMYFUNCTION("""COMPUTED_VALUE"""),"34.74 20/12/2024")</f>
        <v>34.74 20/12/2024</v>
      </c>
      <c r="F679" s="360" t="str">
        <f ca="1">IFERROR(__xludf.DUMMYFUNCTION("""COMPUTED_VALUE"""),"25/12/2024 13:00")</f>
        <v>25/12/2024 13:00</v>
      </c>
      <c r="G679" s="360" t="str">
        <f ca="1">IFERROR(__xludf.DUMMYFUNCTION("""COMPUTED_VALUE"""),"26/12/2024 15:00")</f>
        <v>26/12/2024 15:00</v>
      </c>
      <c r="H679" s="360" t="str">
        <f ca="1">IFERROR(__xludf.DUMMYFUNCTION("""COMPUTED_VALUE"""),"26/12/2024 13:00")</f>
        <v>26/12/2024 13:00</v>
      </c>
      <c r="I679" s="362" t="str">
        <f ca="1">IFERROR(__xludf.DUMMYFUNCTION("""COMPUTED_VALUE"""),"27/12/2024 15:00")</f>
        <v>27/12/2024 15:00</v>
      </c>
      <c r="J679" s="362" t="str">
        <f ca="1">IFERROR(__xludf.DUMMYFUNCTION("""COMPUTED_VALUE"""),"27/12/2024 16:00")</f>
        <v>27/12/2024 16:00</v>
      </c>
      <c r="K679" s="370" t="str">
        <f ca="1">IFERROR(__xludf.DUMMYFUNCTION("""COMPUTED_VALUE"""),"30/12/2024 22:00")</f>
        <v>30/12/2024 22:00</v>
      </c>
      <c r="L679" s="373" t="str">
        <f ca="1">IFERROR(__xludf.DUMMYFUNCTION("""COMPUTED_VALUE"""),"30/12/2024  11:00")</f>
        <v>30/12/2024  11:00</v>
      </c>
      <c r="M679" s="360" t="str">
        <f ca="1">IFERROR(__xludf.DUMMYFUNCTION("""COMPUTED_VALUE"""),"30/12/2024 NOON")</f>
        <v>30/12/2024 NOON</v>
      </c>
    </row>
    <row r="680" spans="1:13" ht="18.75">
      <c r="A680" s="360"/>
      <c r="B680" s="360"/>
      <c r="C680" s="361" t="str">
        <f ca="1">IFERROR(__xludf.DUMMYFUNCTION("""COMPUTED_VALUE"""),"THLCB")</f>
        <v>THLCB</v>
      </c>
      <c r="D680" s="373" t="str">
        <f ca="1">IFERROR(__xludf.DUMMYFUNCTION("""COMPUTED_VALUE"""),"27/12/2024 04:00")</f>
        <v>27/12/2024 04:00</v>
      </c>
      <c r="E680" s="360"/>
      <c r="F680" s="360" t="str">
        <f ca="1">IFERROR(__xludf.DUMMYFUNCTION("""COMPUTED_VALUE"""),"27/12/2024 13:00")</f>
        <v>27/12/2024 13:00</v>
      </c>
      <c r="G680" s="360" t="str">
        <f ca="1">IFERROR(__xludf.DUMMYFUNCTION("""COMPUTED_VALUE"""),"27/12/2024 15:00")</f>
        <v>27/12/2024 15:00</v>
      </c>
      <c r="H680" s="360" t="str">
        <f ca="1">IFERROR(__xludf.DUMMYFUNCTION("""COMPUTED_VALUE"""),"27/12/2024 13:00")</f>
        <v>27/12/2024 13:00</v>
      </c>
      <c r="I680" s="362" t="str">
        <f ca="1">IFERROR(__xludf.DUMMYFUNCTION("""COMPUTED_VALUE"""),"27/12/2024 15:00")</f>
        <v>27/12/2024 15:00</v>
      </c>
      <c r="J680" s="362" t="str">
        <f ca="1">IFERROR(__xludf.DUMMYFUNCTION("""COMPUTED_VALUE"""),"30/12/2024 16:00")</f>
        <v>30/12/2024 16:00</v>
      </c>
      <c r="K680" s="370" t="str">
        <f ca="1">IFERROR(__xludf.DUMMYFUNCTION("""COMPUTED_VALUE"""),"31/12/2024  23:59")</f>
        <v>31/12/2024  23:59</v>
      </c>
      <c r="L680" s="373" t="str">
        <f ca="1">IFERROR(__xludf.DUMMYFUNCTION("""COMPUTED_VALUE"""),"01/01/2025  07.00")</f>
        <v>01/01/2025  07.00</v>
      </c>
      <c r="M680" s="360" t="str">
        <f ca="1">IFERROR(__xludf.DUMMYFUNCTION("""COMPUTED_VALUE"""),"02/01/2025 MORNING")</f>
        <v>02/01/2025 MORNING</v>
      </c>
    </row>
    <row r="681" spans="1:13" ht="18.75">
      <c r="A681" s="360" t="str">
        <f ca="1">IFERROR(__xludf.DUMMYFUNCTION("""COMPUTED_VALUE"""),"CVT")</f>
        <v>CVT</v>
      </c>
      <c r="B681" s="360" t="str">
        <f ca="1">IFERROR(__xludf.DUMMYFUNCTION("""COMPUTED_VALUE"""),"YM HARMONY V.415N")</f>
        <v>YM HARMONY V.415N</v>
      </c>
      <c r="C681" s="361" t="str">
        <f ca="1">IFERROR(__xludf.DUMMYFUNCTION("""COMPUTED_VALUE"""),"THSHT")</f>
        <v>THSHT</v>
      </c>
      <c r="D681" s="373">
        <f ca="1">IFERROR(__xludf.DUMMYFUNCTION("""COMPUTED_VALUE"""),45689.3333333333)</f>
        <v>45689.333333333299</v>
      </c>
      <c r="E681" s="360" t="str">
        <f ca="1">IFERROR(__xludf.DUMMYFUNCTION("""COMPUTED_VALUE"""),"34.43 25/12/2024")</f>
        <v>34.43 25/12/2024</v>
      </c>
      <c r="F681" s="360" t="str">
        <f ca="1">IFERROR(__xludf.DUMMYFUNCTION("""COMPUTED_VALUE"""),"27/12/2024 13:00")</f>
        <v>27/12/2024 13:00</v>
      </c>
      <c r="G681" s="360" t="str">
        <f ca="1">IFERROR(__xludf.DUMMYFUNCTION("""COMPUTED_VALUE"""),"30/12/2024 15:00")</f>
        <v>30/12/2024 15:00</v>
      </c>
      <c r="H681" s="360" t="str">
        <f ca="1">IFERROR(__xludf.DUMMYFUNCTION("""COMPUTED_VALUE"""),"30/12/2024 13:00")</f>
        <v>30/12/2024 13:00</v>
      </c>
      <c r="I681" s="362" t="str">
        <f ca="1">IFERROR(__xludf.DUMMYFUNCTION("""COMPUTED_VALUE"""),"30/12/2024 15:00")</f>
        <v>30/12/2024 15:00</v>
      </c>
      <c r="J681" s="362" t="str">
        <f ca="1">IFERROR(__xludf.DUMMYFUNCTION("""COMPUTED_VALUE"""),"30/12/2024 16:00")</f>
        <v>30/12/2024 16:00</v>
      </c>
      <c r="K681" s="370">
        <f ca="1">IFERROR(__xludf.DUMMYFUNCTION("""COMPUTED_VALUE"""),45689.3333333333)</f>
        <v>45689.333333333299</v>
      </c>
      <c r="L681" s="373">
        <f ca="1">IFERROR(__xludf.DUMMYFUNCTION("""COMPUTED_VALUE"""),45689.125)</f>
        <v>45689.125</v>
      </c>
      <c r="M681" s="360" t="str">
        <f ca="1">IFERROR(__xludf.DUMMYFUNCTION("""COMPUTED_VALUE"""),"02/01/2025 NOON")</f>
        <v>02/01/2025 NOON</v>
      </c>
    </row>
    <row r="682" spans="1:13" ht="18.75">
      <c r="A682" s="360"/>
      <c r="B682" s="360"/>
      <c r="C682" s="361" t="str">
        <f ca="1">IFERROR(__xludf.DUMMYFUNCTION("""COMPUTED_VALUE"""),"THLCB")</f>
        <v>THLCB</v>
      </c>
      <c r="D682" s="373">
        <f ca="1">IFERROR(__xludf.DUMMYFUNCTION("""COMPUTED_VALUE"""),45689.1666666666)</f>
        <v>45689.166666666599</v>
      </c>
      <c r="E682" s="360"/>
      <c r="F682" s="360" t="str">
        <f ca="1">IFERROR(__xludf.DUMMYFUNCTION("""COMPUTED_VALUE"""),"27/12/2024 13:00")</f>
        <v>27/12/2024 13:00</v>
      </c>
      <c r="G682" s="360" t="str">
        <f ca="1">IFERROR(__xludf.DUMMYFUNCTION("""COMPUTED_VALUE"""),"30/12/2024 15:00")</f>
        <v>30/12/2024 15:00</v>
      </c>
      <c r="H682" s="360" t="str">
        <f ca="1">IFERROR(__xludf.DUMMYFUNCTION("""COMPUTED_VALUE"""),"30/12/2024 13:00")</f>
        <v>30/12/2024 13:00</v>
      </c>
      <c r="I682" s="362" t="str">
        <f ca="1">IFERROR(__xludf.DUMMYFUNCTION("""COMPUTED_VALUE"""),"30/12/2024 15:00")</f>
        <v>30/12/2024 15:00</v>
      </c>
      <c r="J682" s="369">
        <f ca="1">IFERROR(__xludf.DUMMYFUNCTION("""COMPUTED_VALUE"""),45689.6666666666)</f>
        <v>45689.666666666599</v>
      </c>
      <c r="K682" s="370">
        <f ca="1">IFERROR(__xludf.DUMMYFUNCTION("""COMPUTED_VALUE"""),45689.9583333333)</f>
        <v>45689.958333333299</v>
      </c>
      <c r="L682" s="373">
        <f ca="1">IFERROR(__xludf.DUMMYFUNCTION("""COMPUTED_VALUE"""),45689.9583333333)</f>
        <v>45689.958333333299</v>
      </c>
      <c r="M682" s="360" t="str">
        <f ca="1">IFERROR(__xludf.DUMMYFUNCTION("""COMPUTED_VALUE"""),"03/01/2025 MORNING")</f>
        <v>03/01/2025 MORNING</v>
      </c>
    </row>
    <row r="683" spans="1:13" ht="18.75">
      <c r="A683" s="360"/>
      <c r="B683" s="360"/>
      <c r="C683" s="361"/>
      <c r="D683" s="360"/>
      <c r="E683" s="360"/>
      <c r="F683" s="360"/>
      <c r="G683" s="360"/>
      <c r="H683" s="360"/>
      <c r="I683" s="362"/>
      <c r="J683" s="362"/>
      <c r="K683" s="362"/>
      <c r="L683" s="360"/>
      <c r="M683" s="360"/>
    </row>
    <row r="684" spans="1:13" ht="18.75">
      <c r="A684" s="360"/>
      <c r="B684" s="360"/>
      <c r="C684" s="361"/>
      <c r="D684" s="360"/>
      <c r="E684" s="360"/>
      <c r="F684" s="360"/>
      <c r="G684" s="360"/>
      <c r="H684" s="360"/>
      <c r="I684" s="362"/>
      <c r="J684" s="362"/>
      <c r="K684" s="362"/>
      <c r="L684" s="360"/>
      <c r="M684" s="360"/>
    </row>
    <row r="685" spans="1:13" ht="18.75">
      <c r="A685" s="360"/>
      <c r="B685" s="360"/>
      <c r="C685" s="361"/>
      <c r="D685" s="360"/>
      <c r="E685" s="360"/>
      <c r="F685" s="360"/>
      <c r="G685" s="360"/>
      <c r="H685" s="360"/>
      <c r="I685" s="362"/>
      <c r="J685" s="362"/>
      <c r="K685" s="362"/>
      <c r="L685" s="360"/>
      <c r="M685" s="360"/>
    </row>
    <row r="686" spans="1:13" ht="18.75">
      <c r="A686" s="360"/>
      <c r="B686" s="360"/>
      <c r="C686" s="361"/>
      <c r="D686" s="360"/>
      <c r="E686" s="360"/>
      <c r="F686" s="360"/>
      <c r="G686" s="360"/>
      <c r="H686" s="360"/>
      <c r="I686" s="362"/>
      <c r="J686" s="362"/>
      <c r="K686" s="362"/>
      <c r="L686" s="360"/>
      <c r="M686" s="360"/>
    </row>
    <row r="687" spans="1:13" ht="18.75">
      <c r="A687" s="360"/>
      <c r="B687" s="360"/>
      <c r="C687" s="361"/>
      <c r="D687" s="360"/>
      <c r="E687" s="360"/>
      <c r="F687" s="360"/>
      <c r="G687" s="360"/>
      <c r="H687" s="360"/>
      <c r="I687" s="362"/>
      <c r="J687" s="362"/>
      <c r="K687" s="362"/>
      <c r="L687" s="360"/>
      <c r="M687" s="360"/>
    </row>
    <row r="688" spans="1:13" ht="18.75">
      <c r="A688" s="360"/>
      <c r="B688" s="360"/>
      <c r="C688" s="361"/>
      <c r="D688" s="360"/>
      <c r="E688" s="360"/>
      <c r="F688" s="360"/>
      <c r="G688" s="360"/>
      <c r="H688" s="360"/>
      <c r="I688" s="362"/>
      <c r="J688" s="362"/>
      <c r="K688" s="362"/>
      <c r="L688" s="360"/>
      <c r="M688" s="360"/>
    </row>
    <row r="689" spans="1:13" ht="18.75">
      <c r="A689" s="360"/>
      <c r="B689" s="360"/>
      <c r="C689" s="361"/>
      <c r="D689" s="360"/>
      <c r="E689" s="360"/>
      <c r="F689" s="360"/>
      <c r="G689" s="360"/>
      <c r="H689" s="360"/>
      <c r="I689" s="362"/>
      <c r="J689" s="362"/>
      <c r="K689" s="362"/>
      <c r="L689" s="360"/>
      <c r="M689" s="360"/>
    </row>
    <row r="690" spans="1:13" ht="18.75">
      <c r="A690" s="360"/>
      <c r="B690" s="360"/>
      <c r="C690" s="361"/>
      <c r="D690" s="360"/>
      <c r="E690" s="360"/>
      <c r="F690" s="360"/>
      <c r="G690" s="360"/>
      <c r="H690" s="360"/>
      <c r="I690" s="362"/>
      <c r="J690" s="362"/>
      <c r="K690" s="362"/>
      <c r="L690" s="360"/>
      <c r="M690" s="360"/>
    </row>
    <row r="691" spans="1:13" ht="18.75">
      <c r="A691" s="360"/>
      <c r="B691" s="360"/>
      <c r="C691" s="361"/>
      <c r="D691" s="360"/>
      <c r="E691" s="360"/>
      <c r="F691" s="360"/>
      <c r="G691" s="360"/>
      <c r="H691" s="360"/>
      <c r="I691" s="362"/>
      <c r="J691" s="362"/>
      <c r="K691" s="362"/>
      <c r="L691" s="360"/>
      <c r="M691" s="360"/>
    </row>
    <row r="692" spans="1:13" ht="18.75">
      <c r="A692" s="360"/>
      <c r="B692" s="360"/>
      <c r="C692" s="361"/>
      <c r="D692" s="360"/>
      <c r="E692" s="360"/>
      <c r="F692" s="360"/>
      <c r="G692" s="360"/>
      <c r="H692" s="360"/>
      <c r="I692" s="362"/>
      <c r="J692" s="362"/>
      <c r="K692" s="362"/>
      <c r="L692" s="360"/>
      <c r="M692" s="360"/>
    </row>
    <row r="693" spans="1:13" ht="18.75">
      <c r="A693" s="360"/>
      <c r="B693" s="360"/>
      <c r="C693" s="361"/>
      <c r="D693" s="360"/>
      <c r="E693" s="360"/>
      <c r="F693" s="360"/>
      <c r="G693" s="360"/>
      <c r="H693" s="360"/>
      <c r="I693" s="362"/>
      <c r="J693" s="362"/>
      <c r="K693" s="362"/>
      <c r="L693" s="360"/>
      <c r="M693" s="360"/>
    </row>
    <row r="694" spans="1:13" ht="18.75">
      <c r="A694" s="360"/>
      <c r="B694" s="360"/>
      <c r="C694" s="361"/>
      <c r="D694" s="360"/>
      <c r="E694" s="360"/>
      <c r="F694" s="360"/>
      <c r="G694" s="360"/>
      <c r="H694" s="360"/>
      <c r="I694" s="362"/>
      <c r="J694" s="362"/>
      <c r="K694" s="362"/>
      <c r="L694" s="360"/>
      <c r="M694" s="360"/>
    </row>
    <row r="695" spans="1:13" ht="18.75">
      <c r="A695" s="360"/>
      <c r="B695" s="360"/>
      <c r="C695" s="361"/>
      <c r="D695" s="360"/>
      <c r="E695" s="360"/>
      <c r="F695" s="360"/>
      <c r="G695" s="360"/>
      <c r="H695" s="360"/>
      <c r="I695" s="362"/>
      <c r="J695" s="362"/>
      <c r="K695" s="362"/>
      <c r="L695" s="360"/>
      <c r="M695" s="360"/>
    </row>
    <row r="696" spans="1:13" ht="18.75">
      <c r="A696" s="360"/>
      <c r="B696" s="360"/>
      <c r="C696" s="361"/>
      <c r="D696" s="360"/>
      <c r="E696" s="360"/>
      <c r="F696" s="360"/>
      <c r="G696" s="360"/>
      <c r="H696" s="360"/>
      <c r="I696" s="362"/>
      <c r="J696" s="362"/>
      <c r="K696" s="362"/>
      <c r="L696" s="360"/>
      <c r="M696" s="360"/>
    </row>
    <row r="697" spans="1:13" ht="18.75">
      <c r="A697" s="360"/>
      <c r="B697" s="360"/>
      <c r="C697" s="361"/>
      <c r="D697" s="360"/>
      <c r="E697" s="360"/>
      <c r="F697" s="360"/>
      <c r="G697" s="360"/>
      <c r="H697" s="360"/>
      <c r="I697" s="362"/>
      <c r="J697" s="362"/>
      <c r="K697" s="362"/>
      <c r="L697" s="360"/>
      <c r="M697" s="360"/>
    </row>
    <row r="698" spans="1:13" ht="18.75">
      <c r="A698" s="360"/>
      <c r="B698" s="360"/>
      <c r="C698" s="361"/>
      <c r="D698" s="360"/>
      <c r="E698" s="360"/>
      <c r="F698" s="360"/>
      <c r="G698" s="360"/>
      <c r="H698" s="360"/>
      <c r="I698" s="362"/>
      <c r="J698" s="362"/>
      <c r="K698" s="362"/>
      <c r="L698" s="360"/>
      <c r="M698" s="360"/>
    </row>
    <row r="699" spans="1:13" ht="18.75">
      <c r="A699" s="360"/>
      <c r="B699" s="360"/>
      <c r="C699" s="361"/>
      <c r="D699" s="360"/>
      <c r="E699" s="360"/>
      <c r="F699" s="360"/>
      <c r="G699" s="360"/>
      <c r="H699" s="360"/>
      <c r="I699" s="362"/>
      <c r="J699" s="362"/>
      <c r="K699" s="362"/>
      <c r="L699" s="360"/>
      <c r="M699" s="360"/>
    </row>
    <row r="700" spans="1:13" ht="18.75">
      <c r="A700" s="360"/>
      <c r="B700" s="360"/>
      <c r="C700" s="361"/>
      <c r="D700" s="360"/>
      <c r="E700" s="360"/>
      <c r="F700" s="360"/>
      <c r="G700" s="360"/>
      <c r="H700" s="360"/>
      <c r="I700" s="362"/>
      <c r="J700" s="362"/>
      <c r="K700" s="362"/>
      <c r="L700" s="360"/>
      <c r="M700" s="360"/>
    </row>
    <row r="701" spans="1:13" ht="18.75">
      <c r="A701" s="360"/>
      <c r="B701" s="360"/>
      <c r="C701" s="361"/>
      <c r="D701" s="360"/>
      <c r="E701" s="360"/>
      <c r="F701" s="360"/>
      <c r="G701" s="360"/>
      <c r="H701" s="360"/>
      <c r="I701" s="362"/>
      <c r="J701" s="362"/>
      <c r="K701" s="362"/>
      <c r="L701" s="360"/>
      <c r="M701" s="360"/>
    </row>
    <row r="702" spans="1:13" ht="18.75">
      <c r="A702" s="360"/>
      <c r="B702" s="360"/>
      <c r="C702" s="361"/>
      <c r="D702" s="360"/>
      <c r="E702" s="360"/>
      <c r="F702" s="360"/>
      <c r="G702" s="360"/>
      <c r="H702" s="360"/>
      <c r="I702" s="362"/>
      <c r="J702" s="362"/>
      <c r="K702" s="362"/>
      <c r="L702" s="360"/>
      <c r="M702" s="360"/>
    </row>
    <row r="703" spans="1:13" ht="18.75">
      <c r="A703" s="360"/>
      <c r="B703" s="360"/>
      <c r="C703" s="361"/>
      <c r="D703" s="360"/>
      <c r="E703" s="360"/>
      <c r="F703" s="360"/>
      <c r="G703" s="360"/>
      <c r="H703" s="360"/>
      <c r="I703" s="362"/>
      <c r="J703" s="362"/>
      <c r="K703" s="362"/>
      <c r="L703" s="360"/>
      <c r="M703" s="360"/>
    </row>
    <row r="704" spans="1:13" ht="18.75">
      <c r="A704" s="360"/>
      <c r="B704" s="360"/>
      <c r="C704" s="361"/>
      <c r="D704" s="360"/>
      <c r="E704" s="360"/>
      <c r="F704" s="360"/>
      <c r="G704" s="360"/>
      <c r="H704" s="360"/>
      <c r="I704" s="362"/>
      <c r="J704" s="362"/>
      <c r="K704" s="362"/>
      <c r="L704" s="360"/>
      <c r="M704" s="360"/>
    </row>
    <row r="705" spans="1:13" ht="18.75">
      <c r="A705" s="360"/>
      <c r="B705" s="360"/>
      <c r="C705" s="361"/>
      <c r="D705" s="360"/>
      <c r="E705" s="360"/>
      <c r="F705" s="360"/>
      <c r="G705" s="360"/>
      <c r="H705" s="360"/>
      <c r="I705" s="362"/>
      <c r="J705" s="362"/>
      <c r="K705" s="362"/>
      <c r="L705" s="360"/>
      <c r="M705" s="360"/>
    </row>
    <row r="706" spans="1:13" ht="18.75">
      <c r="A706" s="360"/>
      <c r="B706" s="360"/>
      <c r="C706" s="361"/>
      <c r="D706" s="360"/>
      <c r="E706" s="360"/>
      <c r="F706" s="360"/>
      <c r="G706" s="360"/>
      <c r="H706" s="360"/>
      <c r="I706" s="362"/>
      <c r="J706" s="362"/>
      <c r="K706" s="362"/>
      <c r="L706" s="360"/>
      <c r="M706" s="360"/>
    </row>
    <row r="707" spans="1:13" ht="18.75">
      <c r="A707" s="360"/>
      <c r="B707" s="360"/>
      <c r="C707" s="361"/>
      <c r="D707" s="360"/>
      <c r="E707" s="360"/>
      <c r="F707" s="360"/>
      <c r="G707" s="360"/>
      <c r="H707" s="360"/>
      <c r="I707" s="362"/>
      <c r="J707" s="362"/>
      <c r="K707" s="362"/>
      <c r="L707" s="360"/>
      <c r="M707" s="360"/>
    </row>
    <row r="708" spans="1:13" ht="18.75">
      <c r="A708" s="360"/>
      <c r="B708" s="360"/>
      <c r="C708" s="361"/>
      <c r="D708" s="360"/>
      <c r="E708" s="360"/>
      <c r="F708" s="360"/>
      <c r="G708" s="360"/>
      <c r="H708" s="360"/>
      <c r="I708" s="362"/>
      <c r="J708" s="362"/>
      <c r="K708" s="362"/>
      <c r="L708" s="360"/>
      <c r="M708" s="360"/>
    </row>
    <row r="709" spans="1:13" ht="18.75">
      <c r="A709" s="360"/>
      <c r="B709" s="360"/>
      <c r="C709" s="361"/>
      <c r="D709" s="360"/>
      <c r="E709" s="360"/>
      <c r="F709" s="360"/>
      <c r="G709" s="360"/>
      <c r="H709" s="360"/>
      <c r="I709" s="362"/>
      <c r="J709" s="362"/>
      <c r="K709" s="362"/>
      <c r="L709" s="360"/>
      <c r="M709" s="360"/>
    </row>
    <row r="710" spans="1:13" ht="18.75">
      <c r="A710" s="360"/>
      <c r="B710" s="360"/>
      <c r="C710" s="361"/>
      <c r="D710" s="360"/>
      <c r="E710" s="360"/>
      <c r="F710" s="360"/>
      <c r="G710" s="360"/>
      <c r="H710" s="360"/>
      <c r="I710" s="362"/>
      <c r="J710" s="362"/>
      <c r="K710" s="362"/>
      <c r="L710" s="360"/>
      <c r="M710" s="360"/>
    </row>
    <row r="711" spans="1:13" ht="18.75">
      <c r="A711" s="360"/>
      <c r="B711" s="360"/>
      <c r="C711" s="361"/>
      <c r="D711" s="360"/>
      <c r="E711" s="360"/>
      <c r="F711" s="360"/>
      <c r="G711" s="360"/>
      <c r="H711" s="360"/>
      <c r="I711" s="362"/>
      <c r="J711" s="362"/>
      <c r="K711" s="362"/>
      <c r="L711" s="360"/>
      <c r="M711" s="360"/>
    </row>
    <row r="712" spans="1:13" ht="18.75">
      <c r="A712" s="360"/>
      <c r="B712" s="360"/>
      <c r="C712" s="361"/>
      <c r="D712" s="360"/>
      <c r="E712" s="360"/>
      <c r="F712" s="360"/>
      <c r="G712" s="360"/>
      <c r="H712" s="360"/>
      <c r="I712" s="362"/>
      <c r="J712" s="362"/>
      <c r="K712" s="362"/>
      <c r="L712" s="360"/>
      <c r="M712" s="360"/>
    </row>
    <row r="713" spans="1:13" ht="18.75">
      <c r="A713" s="360"/>
      <c r="B713" s="360"/>
      <c r="C713" s="361"/>
      <c r="D713" s="360"/>
      <c r="E713" s="360"/>
      <c r="F713" s="360"/>
      <c r="G713" s="360"/>
      <c r="H713" s="360"/>
      <c r="I713" s="362"/>
      <c r="J713" s="362"/>
      <c r="K713" s="362"/>
      <c r="L713" s="360"/>
      <c r="M713" s="360"/>
    </row>
    <row r="714" spans="1:13" ht="18.75">
      <c r="A714" s="360"/>
      <c r="B714" s="360"/>
      <c r="C714" s="361"/>
      <c r="D714" s="360"/>
      <c r="E714" s="360"/>
      <c r="F714" s="360"/>
      <c r="G714" s="360"/>
      <c r="H714" s="360"/>
      <c r="I714" s="362"/>
      <c r="J714" s="362"/>
      <c r="K714" s="362"/>
      <c r="L714" s="360"/>
      <c r="M714" s="360"/>
    </row>
    <row r="715" spans="1:13" ht="18.75">
      <c r="A715" s="360"/>
      <c r="B715" s="360"/>
      <c r="C715" s="361"/>
      <c r="D715" s="360"/>
      <c r="E715" s="360"/>
      <c r="F715" s="360"/>
      <c r="G715" s="360"/>
      <c r="H715" s="360"/>
      <c r="I715" s="362"/>
      <c r="J715" s="362"/>
      <c r="K715" s="362"/>
      <c r="L715" s="360"/>
      <c r="M715" s="360"/>
    </row>
    <row r="716" spans="1:13" ht="18.75">
      <c r="A716" s="360"/>
      <c r="B716" s="360"/>
      <c r="C716" s="361"/>
      <c r="D716" s="360"/>
      <c r="E716" s="360"/>
      <c r="F716" s="360"/>
      <c r="G716" s="360"/>
      <c r="H716" s="360"/>
      <c r="I716" s="362"/>
      <c r="J716" s="362"/>
      <c r="K716" s="362"/>
      <c r="L716" s="360"/>
      <c r="M716" s="360"/>
    </row>
    <row r="717" spans="1:13" ht="18.75">
      <c r="A717" s="360"/>
      <c r="B717" s="360"/>
      <c r="C717" s="361"/>
      <c r="D717" s="360"/>
      <c r="E717" s="360"/>
      <c r="F717" s="360"/>
      <c r="G717" s="360"/>
      <c r="H717" s="360"/>
      <c r="I717" s="362"/>
      <c r="J717" s="362"/>
      <c r="K717" s="362"/>
      <c r="L717" s="360"/>
      <c r="M717" s="360"/>
    </row>
    <row r="718" spans="1:13" ht="18.75">
      <c r="A718" s="360"/>
      <c r="B718" s="360"/>
      <c r="C718" s="361"/>
      <c r="D718" s="360"/>
      <c r="E718" s="360"/>
      <c r="F718" s="360"/>
      <c r="G718" s="360"/>
      <c r="H718" s="360"/>
      <c r="I718" s="362"/>
      <c r="J718" s="362"/>
      <c r="K718" s="362"/>
      <c r="L718" s="360"/>
      <c r="M718" s="360"/>
    </row>
    <row r="719" spans="1:13" ht="18.75">
      <c r="A719" s="360"/>
      <c r="B719" s="360"/>
      <c r="C719" s="361"/>
      <c r="D719" s="360"/>
      <c r="E719" s="360"/>
      <c r="F719" s="360"/>
      <c r="G719" s="360"/>
      <c r="H719" s="360"/>
      <c r="I719" s="362"/>
      <c r="J719" s="362"/>
      <c r="K719" s="362"/>
      <c r="L719" s="360"/>
      <c r="M719" s="360"/>
    </row>
    <row r="720" spans="1:13" ht="18.75">
      <c r="A720" s="360"/>
      <c r="B720" s="360"/>
      <c r="C720" s="361"/>
      <c r="D720" s="360"/>
      <c r="E720" s="360"/>
      <c r="F720" s="360"/>
      <c r="G720" s="360"/>
      <c r="H720" s="360"/>
      <c r="I720" s="362"/>
      <c r="J720" s="362"/>
      <c r="K720" s="362"/>
      <c r="L720" s="360"/>
      <c r="M720" s="360"/>
    </row>
    <row r="721" spans="1:13" ht="18.75">
      <c r="A721" s="360"/>
      <c r="B721" s="360"/>
      <c r="C721" s="361"/>
      <c r="D721" s="360"/>
      <c r="E721" s="360"/>
      <c r="F721" s="360"/>
      <c r="G721" s="360"/>
      <c r="H721" s="360"/>
      <c r="I721" s="362"/>
      <c r="J721" s="362"/>
      <c r="K721" s="362"/>
      <c r="L721" s="360"/>
      <c r="M721" s="360"/>
    </row>
    <row r="722" spans="1:13" ht="18.75">
      <c r="A722" s="360"/>
      <c r="B722" s="360"/>
      <c r="C722" s="361"/>
      <c r="D722" s="360"/>
      <c r="E722" s="360"/>
      <c r="F722" s="360"/>
      <c r="G722" s="360"/>
      <c r="H722" s="360"/>
      <c r="I722" s="362"/>
      <c r="J722" s="362"/>
      <c r="K722" s="362"/>
      <c r="L722" s="360"/>
      <c r="M722" s="360"/>
    </row>
    <row r="723" spans="1:13" ht="18.75">
      <c r="A723" s="360"/>
      <c r="B723" s="360"/>
      <c r="C723" s="361"/>
      <c r="D723" s="360"/>
      <c r="E723" s="360"/>
      <c r="F723" s="360"/>
      <c r="G723" s="360"/>
      <c r="H723" s="360"/>
      <c r="I723" s="362"/>
      <c r="J723" s="362"/>
      <c r="K723" s="362"/>
      <c r="L723" s="360"/>
      <c r="M723" s="360"/>
    </row>
    <row r="724" spans="1:13" ht="18.75">
      <c r="A724" s="360"/>
      <c r="B724" s="360"/>
      <c r="C724" s="361"/>
      <c r="D724" s="360"/>
      <c r="E724" s="360"/>
      <c r="F724" s="360"/>
      <c r="G724" s="360"/>
      <c r="H724" s="360"/>
      <c r="I724" s="362"/>
      <c r="J724" s="362"/>
      <c r="K724" s="362"/>
      <c r="L724" s="360"/>
      <c r="M724" s="360"/>
    </row>
    <row r="725" spans="1:13" ht="18.75">
      <c r="A725" s="360"/>
      <c r="B725" s="360"/>
      <c r="C725" s="361"/>
      <c r="D725" s="360"/>
      <c r="E725" s="360"/>
      <c r="F725" s="360"/>
      <c r="G725" s="360"/>
      <c r="H725" s="360"/>
      <c r="I725" s="362"/>
      <c r="J725" s="362"/>
      <c r="K725" s="362"/>
      <c r="L725" s="360"/>
      <c r="M725" s="360"/>
    </row>
    <row r="726" spans="1:13" ht="18.75">
      <c r="A726" s="360"/>
      <c r="B726" s="360"/>
      <c r="C726" s="361"/>
      <c r="D726" s="360"/>
      <c r="E726" s="360"/>
      <c r="F726" s="360"/>
      <c r="G726" s="360"/>
      <c r="H726" s="360"/>
      <c r="I726" s="362"/>
      <c r="J726" s="362"/>
      <c r="K726" s="362"/>
      <c r="L726" s="360"/>
      <c r="M726" s="360"/>
    </row>
    <row r="727" spans="1:13" ht="18.75">
      <c r="A727" s="360"/>
      <c r="B727" s="360"/>
      <c r="C727" s="361"/>
      <c r="D727" s="360"/>
      <c r="E727" s="360"/>
      <c r="F727" s="360"/>
      <c r="G727" s="360"/>
      <c r="H727" s="360"/>
      <c r="I727" s="362"/>
      <c r="J727" s="362"/>
      <c r="K727" s="362"/>
      <c r="L727" s="360"/>
      <c r="M727" s="360"/>
    </row>
    <row r="728" spans="1:13" ht="18.75">
      <c r="A728" s="360"/>
      <c r="B728" s="360"/>
      <c r="C728" s="361"/>
      <c r="D728" s="360"/>
      <c r="E728" s="360"/>
      <c r="F728" s="360"/>
      <c r="G728" s="360"/>
      <c r="H728" s="360"/>
      <c r="I728" s="362"/>
      <c r="J728" s="362"/>
      <c r="K728" s="362"/>
      <c r="L728" s="360"/>
      <c r="M728" s="360"/>
    </row>
    <row r="729" spans="1:13" ht="18.75">
      <c r="A729" s="360"/>
      <c r="B729" s="360"/>
      <c r="C729" s="361"/>
      <c r="D729" s="360"/>
      <c r="E729" s="360"/>
      <c r="F729" s="360"/>
      <c r="G729" s="360"/>
      <c r="H729" s="360"/>
      <c r="I729" s="362"/>
      <c r="J729" s="362"/>
      <c r="K729" s="362"/>
      <c r="L729" s="360"/>
      <c r="M729" s="360"/>
    </row>
    <row r="730" spans="1:13" ht="18.75">
      <c r="A730" s="360"/>
      <c r="B730" s="360"/>
      <c r="C730" s="361"/>
      <c r="D730" s="360"/>
      <c r="E730" s="360"/>
      <c r="F730" s="360"/>
      <c r="G730" s="360"/>
      <c r="H730" s="360"/>
      <c r="I730" s="362"/>
      <c r="J730" s="362"/>
      <c r="K730" s="362"/>
      <c r="L730" s="360"/>
      <c r="M730" s="360"/>
    </row>
    <row r="731" spans="1:13" ht="18.75">
      <c r="A731" s="360"/>
      <c r="B731" s="360"/>
      <c r="C731" s="361"/>
      <c r="D731" s="360"/>
      <c r="E731" s="360"/>
      <c r="F731" s="360"/>
      <c r="G731" s="360"/>
      <c r="H731" s="360"/>
      <c r="I731" s="362"/>
      <c r="J731" s="362"/>
      <c r="K731" s="362"/>
      <c r="L731" s="360"/>
      <c r="M731" s="360"/>
    </row>
    <row r="732" spans="1:13" ht="18.75">
      <c r="A732" s="360"/>
      <c r="B732" s="360"/>
      <c r="C732" s="361"/>
      <c r="D732" s="360"/>
      <c r="E732" s="360"/>
      <c r="F732" s="360"/>
      <c r="G732" s="360"/>
      <c r="H732" s="360"/>
      <c r="I732" s="362"/>
      <c r="J732" s="362"/>
      <c r="K732" s="362"/>
      <c r="L732" s="360"/>
      <c r="M732" s="360"/>
    </row>
    <row r="733" spans="1:13" ht="18.75">
      <c r="A733" s="360"/>
      <c r="B733" s="360"/>
      <c r="C733" s="361"/>
      <c r="D733" s="360"/>
      <c r="E733" s="360"/>
      <c r="F733" s="360"/>
      <c r="G733" s="360"/>
      <c r="H733" s="360"/>
      <c r="I733" s="362"/>
      <c r="J733" s="362"/>
      <c r="K733" s="362"/>
      <c r="L733" s="360"/>
      <c r="M733" s="360"/>
    </row>
    <row r="734" spans="1:13" ht="18.75">
      <c r="A734" s="360"/>
      <c r="B734" s="360"/>
      <c r="C734" s="361"/>
      <c r="D734" s="360"/>
      <c r="E734" s="360"/>
      <c r="F734" s="360"/>
      <c r="G734" s="360"/>
      <c r="H734" s="360"/>
      <c r="I734" s="362"/>
      <c r="J734" s="362"/>
      <c r="K734" s="362"/>
      <c r="L734" s="360"/>
      <c r="M734" s="360"/>
    </row>
    <row r="735" spans="1:13" ht="18.75">
      <c r="A735" s="360"/>
      <c r="B735" s="360"/>
      <c r="C735" s="361"/>
      <c r="D735" s="360"/>
      <c r="E735" s="360"/>
      <c r="F735" s="360"/>
      <c r="G735" s="360"/>
      <c r="H735" s="360"/>
      <c r="I735" s="362"/>
      <c r="J735" s="362"/>
      <c r="K735" s="362"/>
      <c r="L735" s="360"/>
      <c r="M735" s="360"/>
    </row>
    <row r="736" spans="1:13" ht="18.75">
      <c r="A736" s="360"/>
      <c r="B736" s="360"/>
      <c r="C736" s="361"/>
      <c r="D736" s="360"/>
      <c r="E736" s="360"/>
      <c r="F736" s="360"/>
      <c r="G736" s="360"/>
      <c r="H736" s="360"/>
      <c r="I736" s="362"/>
      <c r="J736" s="362"/>
      <c r="K736" s="362"/>
      <c r="L736" s="360"/>
      <c r="M736" s="360"/>
    </row>
    <row r="737" spans="1:13" ht="18.75">
      <c r="A737" s="360"/>
      <c r="B737" s="360"/>
      <c r="C737" s="361"/>
      <c r="D737" s="360"/>
      <c r="E737" s="360"/>
      <c r="F737" s="360"/>
      <c r="G737" s="360"/>
      <c r="H737" s="360"/>
      <c r="I737" s="362"/>
      <c r="J737" s="362"/>
      <c r="K737" s="362"/>
      <c r="L737" s="360"/>
      <c r="M737" s="360"/>
    </row>
    <row r="738" spans="1:13" ht="18.75">
      <c r="A738" s="360"/>
      <c r="B738" s="360"/>
      <c r="C738" s="361"/>
      <c r="D738" s="360"/>
      <c r="E738" s="360"/>
      <c r="F738" s="360"/>
      <c r="G738" s="360"/>
      <c r="H738" s="360"/>
      <c r="I738" s="362"/>
      <c r="J738" s="362"/>
      <c r="K738" s="362"/>
      <c r="L738" s="360"/>
      <c r="M738" s="360"/>
    </row>
    <row r="739" spans="1:13" ht="18.75">
      <c r="A739" s="360"/>
      <c r="B739" s="360"/>
      <c r="C739" s="361"/>
      <c r="D739" s="360"/>
      <c r="E739" s="360"/>
      <c r="F739" s="360"/>
      <c r="G739" s="360"/>
      <c r="H739" s="360"/>
      <c r="I739" s="362"/>
      <c r="J739" s="362"/>
      <c r="K739" s="362"/>
      <c r="L739" s="360"/>
      <c r="M739" s="360"/>
    </row>
    <row r="740" spans="1:13" ht="18.75">
      <c r="A740" s="360"/>
      <c r="B740" s="360"/>
      <c r="C740" s="361"/>
      <c r="D740" s="360"/>
      <c r="E740" s="360"/>
      <c r="F740" s="360"/>
      <c r="G740" s="360"/>
      <c r="H740" s="360"/>
      <c r="I740" s="362"/>
      <c r="J740" s="362"/>
      <c r="K740" s="362"/>
      <c r="L740" s="360"/>
      <c r="M740" s="360"/>
    </row>
    <row r="741" spans="1:13" ht="18.75">
      <c r="A741" s="360"/>
      <c r="B741" s="360"/>
      <c r="C741" s="361"/>
      <c r="D741" s="360"/>
      <c r="E741" s="360"/>
      <c r="F741" s="360"/>
      <c r="G741" s="360"/>
      <c r="H741" s="360"/>
      <c r="I741" s="362"/>
      <c r="J741" s="362"/>
      <c r="K741" s="362"/>
      <c r="L741" s="360"/>
      <c r="M741" s="360"/>
    </row>
    <row r="742" spans="1:13" ht="18.75">
      <c r="A742" s="360"/>
      <c r="B742" s="360"/>
      <c r="C742" s="361"/>
      <c r="D742" s="360"/>
      <c r="E742" s="360"/>
      <c r="F742" s="360"/>
      <c r="G742" s="360"/>
      <c r="H742" s="360"/>
      <c r="I742" s="362"/>
      <c r="J742" s="362"/>
      <c r="K742" s="362"/>
      <c r="L742" s="360"/>
      <c r="M742" s="360"/>
    </row>
    <row r="743" spans="1:13" ht="18.75">
      <c r="A743" s="360"/>
      <c r="B743" s="360"/>
      <c r="C743" s="361"/>
      <c r="D743" s="360"/>
      <c r="E743" s="360"/>
      <c r="F743" s="360"/>
      <c r="G743" s="360"/>
      <c r="H743" s="360"/>
      <c r="I743" s="362"/>
      <c r="J743" s="362"/>
      <c r="K743" s="362"/>
      <c r="L743" s="360"/>
      <c r="M743" s="360"/>
    </row>
    <row r="744" spans="1:13" ht="18.75">
      <c r="A744" s="360"/>
      <c r="B744" s="360"/>
      <c r="C744" s="361"/>
      <c r="D744" s="360"/>
      <c r="E744" s="360"/>
      <c r="F744" s="360"/>
      <c r="G744" s="360"/>
      <c r="H744" s="360"/>
      <c r="I744" s="362"/>
      <c r="J744" s="362"/>
      <c r="K744" s="362"/>
      <c r="L744" s="360"/>
      <c r="M744" s="360"/>
    </row>
    <row r="745" spans="1:13" ht="18.75">
      <c r="A745" s="360"/>
      <c r="B745" s="360"/>
      <c r="C745" s="361"/>
      <c r="D745" s="360"/>
      <c r="E745" s="360"/>
      <c r="F745" s="360"/>
      <c r="G745" s="360"/>
      <c r="H745" s="360"/>
      <c r="I745" s="362"/>
      <c r="J745" s="362"/>
      <c r="K745" s="362"/>
      <c r="L745" s="360"/>
      <c r="M745" s="360"/>
    </row>
    <row r="746" spans="1:13" ht="18.75">
      <c r="A746" s="360"/>
      <c r="B746" s="360"/>
      <c r="C746" s="361"/>
      <c r="D746" s="360"/>
      <c r="E746" s="360"/>
      <c r="F746" s="360"/>
      <c r="G746" s="360"/>
      <c r="H746" s="360"/>
      <c r="I746" s="362"/>
      <c r="J746" s="362"/>
      <c r="K746" s="362"/>
      <c r="L746" s="360"/>
      <c r="M746" s="360"/>
    </row>
    <row r="747" spans="1:13" ht="18.75">
      <c r="A747" s="360"/>
      <c r="B747" s="360"/>
      <c r="C747" s="361"/>
      <c r="D747" s="360"/>
      <c r="E747" s="360"/>
      <c r="F747" s="360"/>
      <c r="G747" s="360"/>
      <c r="H747" s="360"/>
      <c r="I747" s="362"/>
      <c r="J747" s="362"/>
      <c r="K747" s="362"/>
      <c r="L747" s="360"/>
      <c r="M747" s="360"/>
    </row>
    <row r="748" spans="1:13" ht="18.75">
      <c r="A748" s="360"/>
      <c r="B748" s="360"/>
      <c r="C748" s="361"/>
      <c r="D748" s="360"/>
      <c r="E748" s="360"/>
      <c r="F748" s="360"/>
      <c r="G748" s="360"/>
      <c r="H748" s="360"/>
      <c r="I748" s="362"/>
      <c r="J748" s="362"/>
      <c r="K748" s="362"/>
      <c r="L748" s="360"/>
      <c r="M748" s="360"/>
    </row>
    <row r="749" spans="1:13" ht="18.75">
      <c r="A749" s="360"/>
      <c r="B749" s="360"/>
      <c r="C749" s="361"/>
      <c r="D749" s="360"/>
      <c r="E749" s="360"/>
      <c r="F749" s="360"/>
      <c r="G749" s="360"/>
      <c r="H749" s="360"/>
      <c r="I749" s="362"/>
      <c r="J749" s="362"/>
      <c r="K749" s="362"/>
      <c r="L749" s="360"/>
      <c r="M749" s="360"/>
    </row>
    <row r="750" spans="1:13" ht="18.75">
      <c r="A750" s="360"/>
      <c r="B750" s="360"/>
      <c r="C750" s="361"/>
      <c r="D750" s="360"/>
      <c r="E750" s="360"/>
      <c r="F750" s="360"/>
      <c r="G750" s="360"/>
      <c r="H750" s="360"/>
      <c r="I750" s="362"/>
      <c r="J750" s="362"/>
      <c r="K750" s="362"/>
      <c r="L750" s="360"/>
      <c r="M750" s="360"/>
    </row>
    <row r="751" spans="1:13" ht="18.75">
      <c r="A751" s="360"/>
      <c r="B751" s="360"/>
      <c r="C751" s="361"/>
      <c r="D751" s="360"/>
      <c r="E751" s="360"/>
      <c r="F751" s="360"/>
      <c r="G751" s="360"/>
      <c r="H751" s="360"/>
      <c r="I751" s="362"/>
      <c r="J751" s="362"/>
      <c r="K751" s="362"/>
      <c r="L751" s="360"/>
      <c r="M751" s="360"/>
    </row>
    <row r="752" spans="1:13" ht="18.75">
      <c r="A752" s="360"/>
      <c r="B752" s="360"/>
      <c r="C752" s="361"/>
      <c r="D752" s="360"/>
      <c r="E752" s="360"/>
      <c r="F752" s="360"/>
      <c r="G752" s="360"/>
      <c r="H752" s="360"/>
      <c r="I752" s="362"/>
      <c r="J752" s="362"/>
      <c r="K752" s="362"/>
      <c r="L752" s="360"/>
      <c r="M752" s="360"/>
    </row>
    <row r="753" spans="1:13" ht="18.75">
      <c r="A753" s="360"/>
      <c r="B753" s="360"/>
      <c r="C753" s="361"/>
      <c r="D753" s="360"/>
      <c r="E753" s="360"/>
      <c r="F753" s="360"/>
      <c r="G753" s="360"/>
      <c r="H753" s="360"/>
      <c r="I753" s="362"/>
      <c r="J753" s="362"/>
      <c r="K753" s="362"/>
      <c r="L753" s="360"/>
      <c r="M753" s="360"/>
    </row>
    <row r="754" spans="1:13" ht="18.75">
      <c r="A754" s="360"/>
      <c r="B754" s="360"/>
      <c r="C754" s="361"/>
      <c r="D754" s="360"/>
      <c r="E754" s="360"/>
      <c r="F754" s="360"/>
      <c r="G754" s="360"/>
      <c r="H754" s="360"/>
      <c r="I754" s="362"/>
      <c r="J754" s="362"/>
      <c r="K754" s="362"/>
      <c r="L754" s="360"/>
      <c r="M754" s="360"/>
    </row>
    <row r="755" spans="1:13" ht="18.75">
      <c r="A755" s="360"/>
      <c r="B755" s="360"/>
      <c r="C755" s="361"/>
      <c r="D755" s="360"/>
      <c r="E755" s="360"/>
      <c r="F755" s="360"/>
      <c r="G755" s="360"/>
      <c r="H755" s="360"/>
      <c r="I755" s="362"/>
      <c r="J755" s="362"/>
      <c r="K755" s="362"/>
      <c r="L755" s="360"/>
      <c r="M755" s="360"/>
    </row>
    <row r="756" spans="1:13" ht="18.75">
      <c r="A756" s="360"/>
      <c r="B756" s="360"/>
      <c r="C756" s="361"/>
      <c r="D756" s="360"/>
      <c r="E756" s="360"/>
      <c r="F756" s="360"/>
      <c r="G756" s="360"/>
      <c r="H756" s="360"/>
      <c r="I756" s="362"/>
      <c r="J756" s="362"/>
      <c r="K756" s="362"/>
      <c r="L756" s="360"/>
      <c r="M756" s="360"/>
    </row>
    <row r="757" spans="1:13" ht="18.75">
      <c r="A757" s="360"/>
      <c r="B757" s="360"/>
      <c r="C757" s="361"/>
      <c r="D757" s="360"/>
      <c r="E757" s="360"/>
      <c r="F757" s="360"/>
      <c r="G757" s="360"/>
      <c r="H757" s="360"/>
      <c r="I757" s="362"/>
      <c r="J757" s="362"/>
      <c r="K757" s="362"/>
      <c r="L757" s="360"/>
      <c r="M757" s="360"/>
    </row>
    <row r="758" spans="1:13" ht="18.75">
      <c r="A758" s="360"/>
      <c r="B758" s="360"/>
      <c r="C758" s="361"/>
      <c r="D758" s="360"/>
      <c r="E758" s="360"/>
      <c r="F758" s="360"/>
      <c r="G758" s="360"/>
      <c r="H758" s="360"/>
      <c r="I758" s="362"/>
      <c r="J758" s="362"/>
      <c r="K758" s="362"/>
      <c r="L758" s="360"/>
      <c r="M758" s="360"/>
    </row>
    <row r="759" spans="1:13" ht="18.75">
      <c r="A759" s="360"/>
      <c r="B759" s="360"/>
      <c r="C759" s="361"/>
      <c r="D759" s="360"/>
      <c r="E759" s="360"/>
      <c r="F759" s="360"/>
      <c r="G759" s="360"/>
      <c r="H759" s="360"/>
      <c r="I759" s="362"/>
      <c r="J759" s="362"/>
      <c r="K759" s="362"/>
      <c r="L759" s="360"/>
      <c r="M759" s="360"/>
    </row>
    <row r="760" spans="1:13" ht="18.75">
      <c r="A760" s="360"/>
      <c r="B760" s="360"/>
      <c r="C760" s="361"/>
      <c r="D760" s="360"/>
      <c r="E760" s="360"/>
      <c r="F760" s="360"/>
      <c r="G760" s="360"/>
      <c r="H760" s="360"/>
      <c r="I760" s="362"/>
      <c r="J760" s="362"/>
      <c r="K760" s="362"/>
      <c r="L760" s="360"/>
      <c r="M760" s="360"/>
    </row>
    <row r="761" spans="1:13" ht="18.75">
      <c r="A761" s="360"/>
      <c r="B761" s="360"/>
      <c r="C761" s="361"/>
      <c r="D761" s="360"/>
      <c r="E761" s="360"/>
      <c r="F761" s="360"/>
      <c r="G761" s="360"/>
      <c r="H761" s="360"/>
      <c r="I761" s="362"/>
      <c r="J761" s="362"/>
      <c r="K761" s="362"/>
      <c r="L761" s="360"/>
      <c r="M761" s="360"/>
    </row>
    <row r="762" spans="1:13" ht="18.75">
      <c r="A762" s="360"/>
      <c r="B762" s="360"/>
      <c r="C762" s="361"/>
      <c r="D762" s="360"/>
      <c r="E762" s="360"/>
      <c r="F762" s="360"/>
      <c r="G762" s="360"/>
      <c r="H762" s="360"/>
      <c r="I762" s="362"/>
      <c r="J762" s="362"/>
      <c r="K762" s="362"/>
      <c r="L762" s="360"/>
      <c r="M762" s="360"/>
    </row>
    <row r="763" spans="1:13" ht="18.75">
      <c r="A763" s="360"/>
      <c r="B763" s="360"/>
      <c r="C763" s="361"/>
      <c r="D763" s="360"/>
      <c r="E763" s="360"/>
      <c r="F763" s="360"/>
      <c r="G763" s="360"/>
      <c r="H763" s="360"/>
      <c r="I763" s="362"/>
      <c r="J763" s="362"/>
      <c r="K763" s="362"/>
      <c r="L763" s="360"/>
      <c r="M763" s="360"/>
    </row>
    <row r="764" spans="1:13" ht="18.75">
      <c r="A764" s="360"/>
      <c r="B764" s="360"/>
      <c r="C764" s="361"/>
      <c r="D764" s="360"/>
      <c r="E764" s="360"/>
      <c r="F764" s="360"/>
      <c r="G764" s="360"/>
      <c r="H764" s="360"/>
      <c r="I764" s="362"/>
      <c r="J764" s="362"/>
      <c r="K764" s="362"/>
      <c r="L764" s="360"/>
      <c r="M764" s="360"/>
    </row>
    <row r="765" spans="1:13" ht="18.75">
      <c r="A765" s="360"/>
      <c r="B765" s="360"/>
      <c r="C765" s="361"/>
      <c r="D765" s="360"/>
      <c r="E765" s="360"/>
      <c r="F765" s="360"/>
      <c r="G765" s="360"/>
      <c r="H765" s="360"/>
      <c r="I765" s="362"/>
      <c r="J765" s="362"/>
      <c r="K765" s="362"/>
      <c r="L765" s="360"/>
      <c r="M765" s="360"/>
    </row>
    <row r="766" spans="1:13" ht="18.75">
      <c r="A766" s="360"/>
      <c r="B766" s="360"/>
      <c r="C766" s="361"/>
      <c r="D766" s="360"/>
      <c r="E766" s="360"/>
      <c r="F766" s="360"/>
      <c r="G766" s="360"/>
      <c r="H766" s="360"/>
      <c r="I766" s="362"/>
      <c r="J766" s="362"/>
      <c r="K766" s="362"/>
      <c r="L766" s="360"/>
      <c r="M766" s="360"/>
    </row>
    <row r="767" spans="1:13" ht="18.75">
      <c r="A767" s="360"/>
      <c r="B767" s="360"/>
      <c r="C767" s="361"/>
      <c r="D767" s="360"/>
      <c r="E767" s="360"/>
      <c r="F767" s="360"/>
      <c r="G767" s="360"/>
      <c r="H767" s="360"/>
      <c r="I767" s="362"/>
      <c r="J767" s="362"/>
      <c r="K767" s="362"/>
      <c r="L767" s="360"/>
      <c r="M767" s="360"/>
    </row>
    <row r="768" spans="1:13" ht="18.75">
      <c r="A768" s="360"/>
      <c r="B768" s="360"/>
      <c r="C768" s="361"/>
      <c r="D768" s="360"/>
      <c r="E768" s="360"/>
      <c r="F768" s="360"/>
      <c r="G768" s="360"/>
      <c r="H768" s="360"/>
      <c r="I768" s="362"/>
      <c r="J768" s="362"/>
      <c r="K768" s="362"/>
      <c r="L768" s="360"/>
      <c r="M768" s="360"/>
    </row>
    <row r="769" spans="1:13" ht="18.75">
      <c r="A769" s="360"/>
      <c r="B769" s="360"/>
      <c r="C769" s="361"/>
      <c r="D769" s="360"/>
      <c r="E769" s="360"/>
      <c r="F769" s="360"/>
      <c r="G769" s="360"/>
      <c r="H769" s="360"/>
      <c r="I769" s="362"/>
      <c r="J769" s="362"/>
      <c r="K769" s="362"/>
      <c r="L769" s="360"/>
      <c r="M769" s="360"/>
    </row>
    <row r="770" spans="1:13" ht="18.75">
      <c r="A770" s="360"/>
      <c r="B770" s="360"/>
      <c r="C770" s="361"/>
      <c r="D770" s="360"/>
      <c r="E770" s="360"/>
      <c r="F770" s="360"/>
      <c r="G770" s="360"/>
      <c r="H770" s="360"/>
      <c r="I770" s="362"/>
      <c r="J770" s="362"/>
      <c r="K770" s="362"/>
      <c r="L770" s="360"/>
      <c r="M770" s="360"/>
    </row>
    <row r="771" spans="1:13" ht="18.75">
      <c r="A771" s="360"/>
      <c r="B771" s="360"/>
      <c r="C771" s="361"/>
      <c r="D771" s="360"/>
      <c r="E771" s="360"/>
      <c r="F771" s="360"/>
      <c r="G771" s="360"/>
      <c r="H771" s="360"/>
      <c r="I771" s="362"/>
      <c r="J771" s="362"/>
      <c r="K771" s="362"/>
      <c r="L771" s="360"/>
      <c r="M771" s="360"/>
    </row>
    <row r="772" spans="1:13" ht="18.75">
      <c r="A772" s="360"/>
      <c r="B772" s="360"/>
      <c r="C772" s="361"/>
      <c r="D772" s="360"/>
      <c r="E772" s="360"/>
      <c r="F772" s="360"/>
      <c r="G772" s="360"/>
      <c r="H772" s="360"/>
      <c r="I772" s="362"/>
      <c r="J772" s="362"/>
      <c r="K772" s="362"/>
      <c r="L772" s="360"/>
      <c r="M772" s="360"/>
    </row>
    <row r="773" spans="1:13" ht="18.75">
      <c r="A773" s="360"/>
      <c r="B773" s="360"/>
      <c r="C773" s="361"/>
      <c r="D773" s="360"/>
      <c r="E773" s="360"/>
      <c r="F773" s="360"/>
      <c r="G773" s="360"/>
      <c r="H773" s="360"/>
      <c r="I773" s="362"/>
      <c r="J773" s="362"/>
      <c r="K773" s="362"/>
      <c r="L773" s="360"/>
      <c r="M773" s="360"/>
    </row>
    <row r="774" spans="1:13" ht="18.75">
      <c r="A774" s="360"/>
      <c r="B774" s="360"/>
      <c r="C774" s="361"/>
      <c r="D774" s="360"/>
      <c r="E774" s="360"/>
      <c r="F774" s="360"/>
      <c r="G774" s="360"/>
      <c r="H774" s="360"/>
      <c r="I774" s="362"/>
      <c r="J774" s="362"/>
      <c r="K774" s="362"/>
      <c r="L774" s="360"/>
      <c r="M774" s="360"/>
    </row>
    <row r="775" spans="1:13" ht="18.75">
      <c r="A775" s="360"/>
      <c r="B775" s="360"/>
      <c r="C775" s="361"/>
      <c r="D775" s="360"/>
      <c r="E775" s="360"/>
      <c r="F775" s="360"/>
      <c r="G775" s="360"/>
      <c r="H775" s="360"/>
      <c r="I775" s="362"/>
      <c r="J775" s="362"/>
      <c r="K775" s="362"/>
      <c r="L775" s="360"/>
      <c r="M775" s="360"/>
    </row>
    <row r="776" spans="1:13" ht="18.75">
      <c r="A776" s="360"/>
      <c r="B776" s="360"/>
      <c r="C776" s="361"/>
      <c r="D776" s="360"/>
      <c r="E776" s="360"/>
      <c r="F776" s="360"/>
      <c r="G776" s="360"/>
      <c r="H776" s="360"/>
      <c r="I776" s="362"/>
      <c r="J776" s="362"/>
      <c r="K776" s="362"/>
      <c r="L776" s="360"/>
      <c r="M776" s="360"/>
    </row>
    <row r="777" spans="1:13" ht="18.75">
      <c r="A777" s="360"/>
      <c r="B777" s="360"/>
      <c r="C777" s="361"/>
      <c r="D777" s="360"/>
      <c r="E777" s="360"/>
      <c r="F777" s="360"/>
      <c r="G777" s="360"/>
      <c r="H777" s="360"/>
      <c r="I777" s="362"/>
      <c r="J777" s="362"/>
      <c r="K777" s="362"/>
      <c r="L777" s="360"/>
      <c r="M777" s="360"/>
    </row>
    <row r="778" spans="1:13" ht="18.75">
      <c r="A778" s="360"/>
      <c r="B778" s="360"/>
      <c r="C778" s="361"/>
      <c r="D778" s="360"/>
      <c r="E778" s="360"/>
      <c r="F778" s="360"/>
      <c r="G778" s="360"/>
      <c r="H778" s="360"/>
      <c r="I778" s="362"/>
      <c r="J778" s="362"/>
      <c r="K778" s="362"/>
      <c r="L778" s="360"/>
      <c r="M778" s="360"/>
    </row>
    <row r="779" spans="1:13" ht="18.75">
      <c r="A779" s="360"/>
      <c r="B779" s="360"/>
      <c r="C779" s="361"/>
      <c r="D779" s="360"/>
      <c r="E779" s="360"/>
      <c r="F779" s="360"/>
      <c r="G779" s="360"/>
      <c r="H779" s="360"/>
      <c r="I779" s="362"/>
      <c r="J779" s="362"/>
      <c r="K779" s="362"/>
      <c r="L779" s="360"/>
      <c r="M779" s="360"/>
    </row>
    <row r="780" spans="1:13" ht="18.75">
      <c r="A780" s="360"/>
      <c r="B780" s="360"/>
      <c r="C780" s="361"/>
      <c r="D780" s="360"/>
      <c r="E780" s="360"/>
      <c r="F780" s="360"/>
      <c r="G780" s="360"/>
      <c r="H780" s="360"/>
      <c r="I780" s="362"/>
      <c r="J780" s="362"/>
      <c r="K780" s="362"/>
      <c r="L780" s="360"/>
      <c r="M780" s="360"/>
    </row>
    <row r="781" spans="1:13" ht="18.75">
      <c r="A781" s="360"/>
      <c r="B781" s="360"/>
      <c r="C781" s="361"/>
      <c r="D781" s="360"/>
      <c r="E781" s="360"/>
      <c r="F781" s="360"/>
      <c r="G781" s="360"/>
      <c r="H781" s="360"/>
      <c r="I781" s="362"/>
      <c r="J781" s="362"/>
      <c r="K781" s="362"/>
      <c r="L781" s="360"/>
      <c r="M781" s="360"/>
    </row>
    <row r="782" spans="1:13" ht="18.75">
      <c r="A782" s="360"/>
      <c r="B782" s="360"/>
      <c r="C782" s="361"/>
      <c r="D782" s="360"/>
      <c r="E782" s="360"/>
      <c r="F782" s="360"/>
      <c r="G782" s="360"/>
      <c r="H782" s="360"/>
      <c r="I782" s="362"/>
      <c r="J782" s="362"/>
      <c r="K782" s="362"/>
      <c r="L782" s="360"/>
      <c r="M782" s="360"/>
    </row>
    <row r="783" spans="1:13" ht="18.75">
      <c r="A783" s="360"/>
      <c r="B783" s="360"/>
      <c r="C783" s="361"/>
      <c r="D783" s="360"/>
      <c r="E783" s="360"/>
      <c r="F783" s="360"/>
      <c r="G783" s="360"/>
      <c r="H783" s="360"/>
      <c r="I783" s="362"/>
      <c r="J783" s="362"/>
      <c r="K783" s="362"/>
      <c r="L783" s="360"/>
      <c r="M783" s="360"/>
    </row>
    <row r="784" spans="1:13" ht="18.75">
      <c r="A784" s="360"/>
      <c r="B784" s="360"/>
      <c r="C784" s="361"/>
      <c r="D784" s="360"/>
      <c r="E784" s="360"/>
      <c r="F784" s="360"/>
      <c r="G784" s="360"/>
      <c r="H784" s="360"/>
      <c r="I784" s="362"/>
      <c r="J784" s="362"/>
      <c r="K784" s="362"/>
      <c r="L784" s="360"/>
      <c r="M784" s="360"/>
    </row>
    <row r="785" spans="1:13" ht="18.75">
      <c r="A785" s="360"/>
      <c r="B785" s="360"/>
      <c r="C785" s="361"/>
      <c r="D785" s="360"/>
      <c r="E785" s="360"/>
      <c r="F785" s="360"/>
      <c r="G785" s="360"/>
      <c r="H785" s="360"/>
      <c r="I785" s="362"/>
      <c r="J785" s="362"/>
      <c r="K785" s="362"/>
      <c r="L785" s="360"/>
      <c r="M785" s="360"/>
    </row>
    <row r="786" spans="1:13" ht="18.75">
      <c r="A786" s="360"/>
      <c r="B786" s="360"/>
      <c r="C786" s="361"/>
      <c r="D786" s="360"/>
      <c r="E786" s="360"/>
      <c r="F786" s="360"/>
      <c r="G786" s="360"/>
      <c r="H786" s="360"/>
      <c r="I786" s="362"/>
      <c r="J786" s="362"/>
      <c r="K786" s="362"/>
      <c r="L786" s="360"/>
      <c r="M786" s="360"/>
    </row>
    <row r="787" spans="1:13" ht="18.75">
      <c r="A787" s="360"/>
      <c r="B787" s="360"/>
      <c r="C787" s="361"/>
      <c r="D787" s="360"/>
      <c r="E787" s="360"/>
      <c r="F787" s="360"/>
      <c r="G787" s="360"/>
      <c r="H787" s="360"/>
      <c r="I787" s="362"/>
      <c r="J787" s="362"/>
      <c r="K787" s="362"/>
      <c r="L787" s="360"/>
      <c r="M787" s="360"/>
    </row>
    <row r="788" spans="1:13" ht="18.75">
      <c r="A788" s="360"/>
      <c r="B788" s="360"/>
      <c r="C788" s="361"/>
      <c r="D788" s="360"/>
      <c r="E788" s="360"/>
      <c r="F788" s="360"/>
      <c r="G788" s="360"/>
      <c r="H788" s="360"/>
      <c r="I788" s="362"/>
      <c r="J788" s="362"/>
      <c r="K788" s="362"/>
      <c r="L788" s="360"/>
      <c r="M788" s="360"/>
    </row>
    <row r="789" spans="1:13" ht="18.75">
      <c r="A789" s="360"/>
      <c r="B789" s="360"/>
      <c r="C789" s="361"/>
      <c r="D789" s="360"/>
      <c r="E789" s="360"/>
      <c r="F789" s="360"/>
      <c r="G789" s="360"/>
      <c r="H789" s="360"/>
      <c r="I789" s="362"/>
      <c r="J789" s="362"/>
      <c r="K789" s="362"/>
      <c r="L789" s="360"/>
      <c r="M789" s="360"/>
    </row>
    <row r="790" spans="1:13" ht="18.75">
      <c r="A790" s="360"/>
      <c r="B790" s="360"/>
      <c r="C790" s="361"/>
      <c r="D790" s="360"/>
      <c r="E790" s="360"/>
      <c r="F790" s="360"/>
      <c r="G790" s="360"/>
      <c r="H790" s="360"/>
      <c r="I790" s="362"/>
      <c r="J790" s="362"/>
      <c r="K790" s="362"/>
      <c r="L790" s="360"/>
      <c r="M790" s="360"/>
    </row>
    <row r="791" spans="1:13" ht="18.75">
      <c r="A791" s="360"/>
      <c r="B791" s="360"/>
      <c r="C791" s="361"/>
      <c r="D791" s="360"/>
      <c r="E791" s="360"/>
      <c r="F791" s="360"/>
      <c r="G791" s="360"/>
      <c r="H791" s="360"/>
      <c r="I791" s="362"/>
      <c r="J791" s="362"/>
      <c r="K791" s="362"/>
      <c r="L791" s="360"/>
      <c r="M791" s="360"/>
    </row>
    <row r="792" spans="1:13" ht="18.75">
      <c r="A792" s="360"/>
      <c r="B792" s="360"/>
      <c r="C792" s="361"/>
      <c r="D792" s="360"/>
      <c r="E792" s="360"/>
      <c r="F792" s="360"/>
      <c r="G792" s="360"/>
      <c r="H792" s="360"/>
      <c r="I792" s="362"/>
      <c r="J792" s="362"/>
      <c r="K792" s="362"/>
      <c r="L792" s="360"/>
      <c r="M792" s="360"/>
    </row>
    <row r="793" spans="1:13" ht="18.75">
      <c r="A793" s="360"/>
      <c r="B793" s="360"/>
      <c r="C793" s="361"/>
      <c r="D793" s="360"/>
      <c r="E793" s="360"/>
      <c r="F793" s="360"/>
      <c r="G793" s="360"/>
      <c r="H793" s="360"/>
      <c r="I793" s="362"/>
      <c r="J793" s="362"/>
      <c r="K793" s="362"/>
      <c r="L793" s="360"/>
      <c r="M793" s="360"/>
    </row>
    <row r="794" spans="1:13" ht="18.75">
      <c r="A794" s="360"/>
      <c r="B794" s="360"/>
      <c r="C794" s="361"/>
      <c r="D794" s="360"/>
      <c r="E794" s="360"/>
      <c r="F794" s="360"/>
      <c r="G794" s="360"/>
      <c r="H794" s="360"/>
      <c r="I794" s="362"/>
      <c r="J794" s="362"/>
      <c r="K794" s="362"/>
      <c r="L794" s="360"/>
      <c r="M794" s="360"/>
    </row>
    <row r="795" spans="1:13" ht="18.75">
      <c r="A795" s="360"/>
      <c r="B795" s="360"/>
      <c r="C795" s="361"/>
      <c r="D795" s="360"/>
      <c r="E795" s="360"/>
      <c r="F795" s="360"/>
      <c r="G795" s="360"/>
      <c r="H795" s="360"/>
      <c r="I795" s="362"/>
      <c r="J795" s="362"/>
      <c r="K795" s="362"/>
      <c r="L795" s="360"/>
      <c r="M795" s="360"/>
    </row>
    <row r="796" spans="1:13" ht="18.75">
      <c r="A796" s="360"/>
      <c r="B796" s="360"/>
      <c r="C796" s="361"/>
      <c r="D796" s="360"/>
      <c r="E796" s="360"/>
      <c r="F796" s="360"/>
      <c r="G796" s="360"/>
      <c r="H796" s="360"/>
      <c r="I796" s="362"/>
      <c r="J796" s="362"/>
      <c r="K796" s="362"/>
      <c r="L796" s="360"/>
      <c r="M796" s="360"/>
    </row>
    <row r="797" spans="1:13" ht="18.75">
      <c r="A797" s="360"/>
      <c r="B797" s="360"/>
      <c r="C797" s="361"/>
      <c r="D797" s="360"/>
      <c r="E797" s="360"/>
      <c r="F797" s="360"/>
      <c r="G797" s="360"/>
      <c r="H797" s="360"/>
      <c r="I797" s="362"/>
      <c r="J797" s="362"/>
      <c r="K797" s="362"/>
      <c r="L797" s="360"/>
      <c r="M797" s="360"/>
    </row>
    <row r="798" spans="1:13" ht="18.75">
      <c r="A798" s="360"/>
      <c r="B798" s="360"/>
      <c r="C798" s="361"/>
      <c r="D798" s="360"/>
      <c r="E798" s="360"/>
      <c r="F798" s="360"/>
      <c r="G798" s="360"/>
      <c r="H798" s="360"/>
      <c r="I798" s="362"/>
      <c r="J798" s="362"/>
      <c r="K798" s="362"/>
      <c r="L798" s="360"/>
      <c r="M798" s="360"/>
    </row>
    <row r="799" spans="1:13" ht="18.75">
      <c r="A799" s="360"/>
      <c r="B799" s="360"/>
      <c r="C799" s="361"/>
      <c r="D799" s="360"/>
      <c r="E799" s="360"/>
      <c r="F799" s="360"/>
      <c r="G799" s="360"/>
      <c r="H799" s="360"/>
      <c r="I799" s="362"/>
      <c r="J799" s="362"/>
      <c r="K799" s="362"/>
      <c r="L799" s="360"/>
      <c r="M799" s="360"/>
    </row>
    <row r="800" spans="1:13" ht="18.75">
      <c r="A800" s="360"/>
      <c r="B800" s="360"/>
      <c r="C800" s="361"/>
      <c r="D800" s="360"/>
      <c r="E800" s="360"/>
      <c r="F800" s="360"/>
      <c r="G800" s="360"/>
      <c r="H800" s="360"/>
      <c r="I800" s="362"/>
      <c r="J800" s="362"/>
      <c r="K800" s="362"/>
      <c r="L800" s="360"/>
      <c r="M800" s="360"/>
    </row>
    <row r="801" spans="1:13" ht="18.75">
      <c r="A801" s="360"/>
      <c r="B801" s="360"/>
      <c r="C801" s="361"/>
      <c r="D801" s="360"/>
      <c r="E801" s="360"/>
      <c r="F801" s="360"/>
      <c r="G801" s="360"/>
      <c r="H801" s="360"/>
      <c r="I801" s="362"/>
      <c r="J801" s="362"/>
      <c r="K801" s="362"/>
      <c r="L801" s="360"/>
      <c r="M801" s="360"/>
    </row>
    <row r="802" spans="1:13" ht="18.75">
      <c r="A802" s="360"/>
      <c r="B802" s="360"/>
      <c r="C802" s="361"/>
      <c r="D802" s="360"/>
      <c r="E802" s="360"/>
      <c r="F802" s="360"/>
      <c r="G802" s="360"/>
      <c r="H802" s="360"/>
      <c r="I802" s="362"/>
      <c r="J802" s="362"/>
      <c r="K802" s="362"/>
      <c r="L802" s="360"/>
      <c r="M802" s="360"/>
    </row>
    <row r="803" spans="1:13" ht="18.75">
      <c r="A803" s="360"/>
      <c r="B803" s="360"/>
      <c r="C803" s="361"/>
      <c r="D803" s="360"/>
      <c r="E803" s="360"/>
      <c r="F803" s="360"/>
      <c r="G803" s="360"/>
      <c r="H803" s="360"/>
      <c r="I803" s="362"/>
      <c r="J803" s="362"/>
      <c r="K803" s="362"/>
      <c r="L803" s="360"/>
      <c r="M803" s="360"/>
    </row>
    <row r="804" spans="1:13" ht="18.75">
      <c r="A804" s="360"/>
      <c r="B804" s="360"/>
      <c r="C804" s="361"/>
      <c r="D804" s="360"/>
      <c r="E804" s="360"/>
      <c r="F804" s="360"/>
      <c r="G804" s="360"/>
      <c r="H804" s="360"/>
      <c r="I804" s="362"/>
      <c r="J804" s="362"/>
      <c r="K804" s="362"/>
      <c r="L804" s="360"/>
      <c r="M804" s="360"/>
    </row>
    <row r="805" spans="1:13" ht="18.75">
      <c r="A805" s="360"/>
      <c r="B805" s="360"/>
      <c r="C805" s="361"/>
      <c r="D805" s="360"/>
      <c r="E805" s="360"/>
      <c r="F805" s="360"/>
      <c r="G805" s="360"/>
      <c r="H805" s="360"/>
      <c r="I805" s="362"/>
      <c r="J805" s="362"/>
      <c r="K805" s="362"/>
      <c r="L805" s="360"/>
      <c r="M805" s="360"/>
    </row>
    <row r="806" spans="1:13" ht="18.75">
      <c r="A806" s="360"/>
      <c r="B806" s="360"/>
      <c r="C806" s="361"/>
      <c r="D806" s="360"/>
      <c r="E806" s="360"/>
      <c r="F806" s="360"/>
      <c r="G806" s="360"/>
      <c r="H806" s="360"/>
      <c r="I806" s="362"/>
      <c r="J806" s="362"/>
      <c r="K806" s="362"/>
      <c r="L806" s="360"/>
      <c r="M806" s="360"/>
    </row>
    <row r="807" spans="1:13" ht="18.75">
      <c r="A807" s="360"/>
      <c r="B807" s="360"/>
      <c r="C807" s="361"/>
      <c r="D807" s="360"/>
      <c r="E807" s="360"/>
      <c r="F807" s="360"/>
      <c r="G807" s="360"/>
      <c r="H807" s="360"/>
      <c r="I807" s="362"/>
      <c r="J807" s="362"/>
      <c r="K807" s="362"/>
      <c r="L807" s="360"/>
      <c r="M807" s="360"/>
    </row>
    <row r="808" spans="1:13" ht="18.75">
      <c r="A808" s="360"/>
      <c r="B808" s="360"/>
      <c r="C808" s="361"/>
      <c r="D808" s="360"/>
      <c r="E808" s="360"/>
      <c r="F808" s="360"/>
      <c r="G808" s="360"/>
      <c r="H808" s="360"/>
      <c r="I808" s="362"/>
      <c r="J808" s="362"/>
      <c r="K808" s="362"/>
      <c r="L808" s="360"/>
      <c r="M808" s="360"/>
    </row>
    <row r="809" spans="1:13" ht="18.75">
      <c r="A809" s="360"/>
      <c r="B809" s="360"/>
      <c r="C809" s="361"/>
      <c r="D809" s="360"/>
      <c r="E809" s="360"/>
      <c r="F809" s="360"/>
      <c r="G809" s="360"/>
      <c r="H809" s="360"/>
      <c r="I809" s="362"/>
      <c r="J809" s="362"/>
      <c r="K809" s="362"/>
      <c r="L809" s="360"/>
      <c r="M809" s="360"/>
    </row>
    <row r="810" spans="1:13" ht="18.75">
      <c r="A810" s="360"/>
      <c r="B810" s="360"/>
      <c r="C810" s="361"/>
      <c r="D810" s="360"/>
      <c r="E810" s="360"/>
      <c r="F810" s="360"/>
      <c r="G810" s="360"/>
      <c r="H810" s="360"/>
      <c r="I810" s="362"/>
      <c r="J810" s="362"/>
      <c r="K810" s="362"/>
      <c r="L810" s="360"/>
      <c r="M810" s="360"/>
    </row>
    <row r="811" spans="1:13" ht="18.75">
      <c r="A811" s="360"/>
      <c r="B811" s="360"/>
      <c r="C811" s="361"/>
      <c r="D811" s="360"/>
      <c r="E811" s="360"/>
      <c r="F811" s="360"/>
      <c r="G811" s="360"/>
      <c r="H811" s="360"/>
      <c r="I811" s="362"/>
      <c r="J811" s="362"/>
      <c r="K811" s="362"/>
      <c r="L811" s="360"/>
      <c r="M811" s="360"/>
    </row>
    <row r="812" spans="1:13" ht="18.75">
      <c r="A812" s="360"/>
      <c r="B812" s="360"/>
      <c r="C812" s="361"/>
      <c r="D812" s="360"/>
      <c r="E812" s="360"/>
      <c r="F812" s="360"/>
      <c r="G812" s="360"/>
      <c r="H812" s="360"/>
      <c r="I812" s="362"/>
      <c r="J812" s="362"/>
      <c r="K812" s="362"/>
      <c r="L812" s="360"/>
      <c r="M812" s="360"/>
    </row>
    <row r="813" spans="1:13" ht="18.75">
      <c r="A813" s="360"/>
      <c r="B813" s="360"/>
      <c r="C813" s="361"/>
      <c r="D813" s="360"/>
      <c r="E813" s="360"/>
      <c r="F813" s="360"/>
      <c r="G813" s="360"/>
      <c r="H813" s="360"/>
      <c r="I813" s="362"/>
      <c r="J813" s="362"/>
      <c r="K813" s="362"/>
      <c r="L813" s="360"/>
      <c r="M813" s="360"/>
    </row>
    <row r="814" spans="1:13" ht="18.75">
      <c r="A814" s="360"/>
      <c r="B814" s="360"/>
      <c r="C814" s="361"/>
      <c r="D814" s="360"/>
      <c r="E814" s="360"/>
      <c r="F814" s="360"/>
      <c r="G814" s="360"/>
      <c r="H814" s="360"/>
      <c r="I814" s="362"/>
      <c r="J814" s="362"/>
      <c r="K814" s="362"/>
      <c r="L814" s="360"/>
      <c r="M814" s="360"/>
    </row>
    <row r="815" spans="1:13" ht="18.75">
      <c r="A815" s="360"/>
      <c r="B815" s="360"/>
      <c r="C815" s="361"/>
      <c r="D815" s="360"/>
      <c r="E815" s="360"/>
      <c r="F815" s="360"/>
      <c r="G815" s="360"/>
      <c r="H815" s="360"/>
      <c r="I815" s="362"/>
      <c r="J815" s="362"/>
      <c r="K815" s="362"/>
      <c r="L815" s="360"/>
      <c r="M815" s="360"/>
    </row>
    <row r="816" spans="1:13" ht="18.75">
      <c r="A816" s="360"/>
      <c r="B816" s="360"/>
      <c r="C816" s="361"/>
      <c r="D816" s="360"/>
      <c r="E816" s="360"/>
      <c r="F816" s="360"/>
      <c r="G816" s="360"/>
      <c r="H816" s="360"/>
      <c r="I816" s="362"/>
      <c r="J816" s="362"/>
      <c r="K816" s="362"/>
      <c r="L816" s="360"/>
      <c r="M816" s="360"/>
    </row>
    <row r="817" spans="1:13" ht="18.75">
      <c r="A817" s="360"/>
      <c r="B817" s="360"/>
      <c r="C817" s="361"/>
      <c r="D817" s="360"/>
      <c r="E817" s="360"/>
      <c r="F817" s="360"/>
      <c r="G817" s="360"/>
      <c r="H817" s="360"/>
      <c r="I817" s="362"/>
      <c r="J817" s="362"/>
      <c r="K817" s="362"/>
      <c r="L817" s="360"/>
      <c r="M817" s="360"/>
    </row>
    <row r="818" spans="1:13" ht="18.75">
      <c r="A818" s="360"/>
      <c r="B818" s="360"/>
      <c r="C818" s="361"/>
      <c r="D818" s="360"/>
      <c r="E818" s="360"/>
      <c r="F818" s="360"/>
      <c r="G818" s="360"/>
      <c r="H818" s="360"/>
      <c r="I818" s="362"/>
      <c r="J818" s="362"/>
      <c r="K818" s="362"/>
      <c r="L818" s="360"/>
      <c r="M818" s="360"/>
    </row>
    <row r="819" spans="1:13" ht="18.75">
      <c r="A819" s="360"/>
      <c r="B819" s="360"/>
      <c r="C819" s="361"/>
      <c r="D819" s="360"/>
      <c r="E819" s="360"/>
      <c r="F819" s="360"/>
      <c r="G819" s="360"/>
      <c r="H819" s="360"/>
      <c r="I819" s="362"/>
      <c r="J819" s="362"/>
      <c r="K819" s="362"/>
      <c r="L819" s="360"/>
      <c r="M819" s="360"/>
    </row>
    <row r="820" spans="1:13" ht="18.75">
      <c r="A820" s="360"/>
      <c r="B820" s="360"/>
      <c r="C820" s="361"/>
      <c r="D820" s="360"/>
      <c r="E820" s="360"/>
      <c r="F820" s="360"/>
      <c r="G820" s="360"/>
      <c r="H820" s="360"/>
      <c r="I820" s="362"/>
      <c r="J820" s="362"/>
      <c r="K820" s="362"/>
      <c r="L820" s="360"/>
      <c r="M820" s="360"/>
    </row>
    <row r="821" spans="1:13" ht="18.75">
      <c r="A821" s="360"/>
      <c r="B821" s="360"/>
      <c r="C821" s="361"/>
      <c r="D821" s="360"/>
      <c r="E821" s="360"/>
      <c r="F821" s="360"/>
      <c r="G821" s="360"/>
      <c r="H821" s="360"/>
      <c r="I821" s="362"/>
      <c r="J821" s="362"/>
      <c r="K821" s="362"/>
      <c r="L821" s="360"/>
      <c r="M821" s="360"/>
    </row>
    <row r="822" spans="1:13" ht="18.75">
      <c r="A822" s="360"/>
      <c r="B822" s="360"/>
      <c r="C822" s="361"/>
      <c r="D822" s="360"/>
      <c r="E822" s="360"/>
      <c r="F822" s="360"/>
      <c r="G822" s="360"/>
      <c r="H822" s="360"/>
      <c r="I822" s="362"/>
      <c r="J822" s="362"/>
      <c r="K822" s="362"/>
      <c r="L822" s="360"/>
      <c r="M822" s="360"/>
    </row>
    <row r="823" spans="1:13" ht="18.75">
      <c r="A823" s="360"/>
      <c r="B823" s="360"/>
      <c r="C823" s="361"/>
      <c r="D823" s="360"/>
      <c r="E823" s="360"/>
      <c r="F823" s="360"/>
      <c r="G823" s="360"/>
      <c r="H823" s="360"/>
      <c r="I823" s="362"/>
      <c r="J823" s="362"/>
      <c r="K823" s="362"/>
      <c r="L823" s="360"/>
      <c r="M823" s="360"/>
    </row>
    <row r="824" spans="1:13" ht="18.75">
      <c r="A824" s="360"/>
      <c r="B824" s="360"/>
      <c r="C824" s="361"/>
      <c r="D824" s="360"/>
      <c r="E824" s="360"/>
      <c r="F824" s="360"/>
      <c r="G824" s="360"/>
      <c r="H824" s="360"/>
      <c r="I824" s="362"/>
      <c r="J824" s="362"/>
      <c r="K824" s="362"/>
      <c r="L824" s="360"/>
      <c r="M824" s="360"/>
    </row>
    <row r="825" spans="1:13" ht="18.75">
      <c r="A825" s="360"/>
      <c r="B825" s="360"/>
      <c r="C825" s="361"/>
      <c r="D825" s="360"/>
      <c r="E825" s="360"/>
      <c r="F825" s="360"/>
      <c r="G825" s="360"/>
      <c r="H825" s="360"/>
      <c r="I825" s="362"/>
      <c r="J825" s="362"/>
      <c r="K825" s="362"/>
      <c r="L825" s="360"/>
      <c r="M825" s="360"/>
    </row>
    <row r="826" spans="1:13" ht="18.75">
      <c r="A826" s="360"/>
      <c r="B826" s="360"/>
      <c r="C826" s="361"/>
      <c r="D826" s="360"/>
      <c r="E826" s="360"/>
      <c r="F826" s="360"/>
      <c r="G826" s="360"/>
      <c r="H826" s="360"/>
      <c r="I826" s="362"/>
      <c r="J826" s="362"/>
      <c r="K826" s="362"/>
      <c r="L826" s="360"/>
      <c r="M826" s="360"/>
    </row>
    <row r="827" spans="1:13" ht="18.75">
      <c r="A827" s="360"/>
      <c r="B827" s="360"/>
      <c r="C827" s="361"/>
      <c r="D827" s="360"/>
      <c r="E827" s="360"/>
      <c r="F827" s="360"/>
      <c r="G827" s="360"/>
      <c r="H827" s="360"/>
      <c r="I827" s="362"/>
      <c r="J827" s="362"/>
      <c r="K827" s="362"/>
      <c r="L827" s="360"/>
      <c r="M827" s="360"/>
    </row>
    <row r="828" spans="1:13" ht="18.75">
      <c r="A828" s="360"/>
      <c r="B828" s="360"/>
      <c r="C828" s="361"/>
      <c r="D828" s="360"/>
      <c r="E828" s="360"/>
      <c r="F828" s="360"/>
      <c r="G828" s="360"/>
      <c r="H828" s="360"/>
      <c r="I828" s="362"/>
      <c r="J828" s="362"/>
      <c r="K828" s="362"/>
      <c r="L828" s="360"/>
      <c r="M828" s="360"/>
    </row>
    <row r="829" spans="1:13" ht="18.75">
      <c r="A829" s="360"/>
      <c r="B829" s="360"/>
      <c r="C829" s="361"/>
      <c r="D829" s="360"/>
      <c r="E829" s="360"/>
      <c r="F829" s="360"/>
      <c r="G829" s="360"/>
      <c r="H829" s="360"/>
      <c r="I829" s="362"/>
      <c r="J829" s="362"/>
      <c r="K829" s="362"/>
      <c r="L829" s="360"/>
      <c r="M829" s="360"/>
    </row>
    <row r="830" spans="1:13" ht="18.75">
      <c r="A830" s="360"/>
      <c r="B830" s="360"/>
      <c r="C830" s="361"/>
      <c r="D830" s="360"/>
      <c r="E830" s="360"/>
      <c r="F830" s="360"/>
      <c r="G830" s="360"/>
      <c r="H830" s="360"/>
      <c r="I830" s="362"/>
      <c r="J830" s="362"/>
      <c r="K830" s="362"/>
      <c r="L830" s="360"/>
      <c r="M830" s="360"/>
    </row>
    <row r="831" spans="1:13" ht="18.75">
      <c r="A831" s="360"/>
      <c r="B831" s="360"/>
      <c r="C831" s="361"/>
      <c r="D831" s="360"/>
      <c r="E831" s="360"/>
      <c r="F831" s="360"/>
      <c r="G831" s="360"/>
      <c r="H831" s="360"/>
      <c r="I831" s="362"/>
      <c r="J831" s="362"/>
      <c r="K831" s="362"/>
      <c r="L831" s="360"/>
      <c r="M831" s="360"/>
    </row>
    <row r="832" spans="1:13" ht="18.75">
      <c r="A832" s="360"/>
      <c r="B832" s="360"/>
      <c r="C832" s="361"/>
      <c r="D832" s="360"/>
      <c r="E832" s="360"/>
      <c r="F832" s="360"/>
      <c r="G832" s="360"/>
      <c r="H832" s="360"/>
      <c r="I832" s="362"/>
      <c r="J832" s="362"/>
      <c r="K832" s="362"/>
      <c r="L832" s="360"/>
      <c r="M832" s="360"/>
    </row>
    <row r="833" spans="1:13" ht="18.75">
      <c r="A833" s="360"/>
      <c r="B833" s="360"/>
      <c r="C833" s="361"/>
      <c r="D833" s="360"/>
      <c r="E833" s="360"/>
      <c r="F833" s="360"/>
      <c r="G833" s="360"/>
      <c r="H833" s="360"/>
      <c r="I833" s="362"/>
      <c r="J833" s="362"/>
      <c r="K833" s="362"/>
      <c r="L833" s="360"/>
      <c r="M833" s="360"/>
    </row>
    <row r="834" spans="1:13" ht="18.75">
      <c r="A834" s="360"/>
      <c r="B834" s="360"/>
      <c r="C834" s="361"/>
      <c r="D834" s="360"/>
      <c r="E834" s="360"/>
      <c r="F834" s="360"/>
      <c r="G834" s="360"/>
      <c r="H834" s="360"/>
      <c r="I834" s="362"/>
      <c r="J834" s="362"/>
      <c r="K834" s="362"/>
      <c r="L834" s="360"/>
      <c r="M834" s="360"/>
    </row>
    <row r="835" spans="1:13" ht="18.75">
      <c r="A835" s="360"/>
      <c r="B835" s="360"/>
      <c r="C835" s="361"/>
      <c r="D835" s="360"/>
      <c r="E835" s="360"/>
      <c r="F835" s="360"/>
      <c r="G835" s="360"/>
      <c r="H835" s="360"/>
      <c r="I835" s="362"/>
      <c r="J835" s="362"/>
      <c r="K835" s="362"/>
      <c r="L835" s="360"/>
      <c r="M835" s="360"/>
    </row>
    <row r="836" spans="1:13" ht="18.75">
      <c r="A836" s="360"/>
      <c r="B836" s="360"/>
      <c r="C836" s="361"/>
      <c r="D836" s="360"/>
      <c r="E836" s="360"/>
      <c r="F836" s="360"/>
      <c r="G836" s="360"/>
      <c r="H836" s="360"/>
      <c r="I836" s="362"/>
      <c r="J836" s="362"/>
      <c r="K836" s="362"/>
      <c r="L836" s="360"/>
      <c r="M836" s="360"/>
    </row>
    <row r="837" spans="1:13" ht="18.75">
      <c r="A837" s="360"/>
      <c r="B837" s="360"/>
      <c r="C837" s="361"/>
      <c r="D837" s="360"/>
      <c r="E837" s="360"/>
      <c r="F837" s="360"/>
      <c r="G837" s="360"/>
      <c r="H837" s="360"/>
      <c r="I837" s="362"/>
      <c r="J837" s="362"/>
      <c r="K837" s="362"/>
      <c r="L837" s="360"/>
      <c r="M837" s="360"/>
    </row>
    <row r="838" spans="1:13" ht="18.75">
      <c r="A838" s="360"/>
      <c r="B838" s="360"/>
      <c r="C838" s="361"/>
      <c r="D838" s="360"/>
      <c r="E838" s="360"/>
      <c r="F838" s="360"/>
      <c r="G838" s="360"/>
      <c r="H838" s="360"/>
      <c r="I838" s="362"/>
      <c r="J838" s="362"/>
      <c r="K838" s="362"/>
      <c r="L838" s="360"/>
      <c r="M838" s="360"/>
    </row>
    <row r="839" spans="1:13" ht="18.75">
      <c r="A839" s="360"/>
      <c r="B839" s="360"/>
      <c r="C839" s="361"/>
      <c r="D839" s="360"/>
      <c r="E839" s="360"/>
      <c r="F839" s="360"/>
      <c r="G839" s="360"/>
      <c r="H839" s="360"/>
      <c r="I839" s="362"/>
      <c r="J839" s="362"/>
      <c r="K839" s="362"/>
      <c r="L839" s="360"/>
      <c r="M839" s="360"/>
    </row>
    <row r="840" spans="1:13" ht="18.75">
      <c r="A840" s="360"/>
      <c r="B840" s="360"/>
      <c r="C840" s="361"/>
      <c r="D840" s="360"/>
      <c r="E840" s="360"/>
      <c r="F840" s="360"/>
      <c r="G840" s="360"/>
      <c r="H840" s="360"/>
      <c r="I840" s="362"/>
      <c r="J840" s="362"/>
      <c r="K840" s="362"/>
      <c r="L840" s="360"/>
      <c r="M840" s="360"/>
    </row>
    <row r="841" spans="1:13" ht="18.75">
      <c r="A841" s="360"/>
      <c r="B841" s="360"/>
      <c r="C841" s="361"/>
      <c r="D841" s="360"/>
      <c r="E841" s="360"/>
      <c r="F841" s="360"/>
      <c r="G841" s="360"/>
      <c r="H841" s="360"/>
      <c r="I841" s="362"/>
      <c r="J841" s="362"/>
      <c r="K841" s="362"/>
      <c r="L841" s="360"/>
      <c r="M841" s="360"/>
    </row>
    <row r="842" spans="1:13" ht="18.75">
      <c r="A842" s="360"/>
      <c r="B842" s="360"/>
      <c r="C842" s="361"/>
      <c r="D842" s="360"/>
      <c r="E842" s="360"/>
      <c r="F842" s="360"/>
      <c r="G842" s="360"/>
      <c r="H842" s="360"/>
      <c r="I842" s="362"/>
      <c r="J842" s="362"/>
      <c r="K842" s="362"/>
      <c r="L842" s="360"/>
      <c r="M842" s="360"/>
    </row>
    <row r="843" spans="1:13" ht="18.75">
      <c r="A843" s="360"/>
      <c r="B843" s="360"/>
      <c r="C843" s="361"/>
      <c r="D843" s="360"/>
      <c r="E843" s="360"/>
      <c r="F843" s="360"/>
      <c r="G843" s="360"/>
      <c r="H843" s="360"/>
      <c r="I843" s="362"/>
      <c r="J843" s="362"/>
      <c r="K843" s="362"/>
      <c r="L843" s="360"/>
      <c r="M843" s="360"/>
    </row>
    <row r="844" spans="1:13" ht="18.75">
      <c r="A844" s="360"/>
      <c r="B844" s="360"/>
      <c r="C844" s="361"/>
      <c r="D844" s="360"/>
      <c r="E844" s="360"/>
      <c r="F844" s="360"/>
      <c r="G844" s="360"/>
      <c r="H844" s="360"/>
      <c r="I844" s="362"/>
      <c r="J844" s="362"/>
      <c r="K844" s="362"/>
      <c r="L844" s="360"/>
      <c r="M844" s="360"/>
    </row>
    <row r="845" spans="1:13" ht="18.75">
      <c r="A845" s="360"/>
      <c r="B845" s="360"/>
      <c r="C845" s="361"/>
      <c r="D845" s="360"/>
      <c r="E845" s="360"/>
      <c r="F845" s="360"/>
      <c r="G845" s="360"/>
      <c r="H845" s="360"/>
      <c r="I845" s="362"/>
      <c r="J845" s="362"/>
      <c r="K845" s="362"/>
      <c r="L845" s="360"/>
      <c r="M845" s="360"/>
    </row>
    <row r="846" spans="1:13" ht="18.75">
      <c r="A846" s="360"/>
      <c r="B846" s="360"/>
      <c r="C846" s="361"/>
      <c r="D846" s="360"/>
      <c r="E846" s="360"/>
      <c r="F846" s="360"/>
      <c r="G846" s="360"/>
      <c r="H846" s="360"/>
      <c r="I846" s="362"/>
      <c r="J846" s="362"/>
      <c r="K846" s="362"/>
      <c r="L846" s="360"/>
      <c r="M846" s="360"/>
    </row>
    <row r="847" spans="1:13" ht="18.75">
      <c r="A847" s="360"/>
      <c r="B847" s="360"/>
      <c r="C847" s="361"/>
      <c r="D847" s="360"/>
      <c r="E847" s="360"/>
      <c r="F847" s="360"/>
      <c r="G847" s="360"/>
      <c r="H847" s="360"/>
      <c r="I847" s="362"/>
      <c r="J847" s="362"/>
      <c r="K847" s="362"/>
      <c r="L847" s="360"/>
      <c r="M847" s="360"/>
    </row>
    <row r="848" spans="1:13" ht="18.75">
      <c r="A848" s="360"/>
      <c r="B848" s="360"/>
      <c r="C848" s="361"/>
      <c r="D848" s="360"/>
      <c r="E848" s="360"/>
      <c r="F848" s="360"/>
      <c r="G848" s="360"/>
      <c r="H848" s="360"/>
      <c r="I848" s="362"/>
      <c r="J848" s="362"/>
      <c r="K848" s="362"/>
      <c r="L848" s="360"/>
      <c r="M848" s="360"/>
    </row>
    <row r="849" spans="1:13" ht="18.75">
      <c r="A849" s="360"/>
      <c r="B849" s="360"/>
      <c r="C849" s="361"/>
      <c r="D849" s="360"/>
      <c r="E849" s="360"/>
      <c r="F849" s="360"/>
      <c r="G849" s="360"/>
      <c r="H849" s="360"/>
      <c r="I849" s="362"/>
      <c r="J849" s="362"/>
      <c r="K849" s="362"/>
      <c r="L849" s="360"/>
      <c r="M849" s="360"/>
    </row>
    <row r="850" spans="1:13" ht="18.75">
      <c r="A850" s="360"/>
      <c r="B850" s="360"/>
      <c r="C850" s="361"/>
      <c r="D850" s="360"/>
      <c r="E850" s="360"/>
      <c r="F850" s="360"/>
      <c r="G850" s="360"/>
      <c r="H850" s="360"/>
      <c r="I850" s="362"/>
      <c r="J850" s="362"/>
      <c r="K850" s="362"/>
      <c r="L850" s="360"/>
      <c r="M850" s="360"/>
    </row>
    <row r="851" spans="1:13" ht="18.75">
      <c r="A851" s="360"/>
      <c r="B851" s="360"/>
      <c r="C851" s="361"/>
      <c r="D851" s="360"/>
      <c r="E851" s="360"/>
      <c r="F851" s="360"/>
      <c r="G851" s="360"/>
      <c r="H851" s="360"/>
      <c r="I851" s="362"/>
      <c r="J851" s="362"/>
      <c r="K851" s="362"/>
      <c r="L851" s="360"/>
      <c r="M851" s="360"/>
    </row>
    <row r="852" spans="1:13" ht="18.75">
      <c r="A852" s="360"/>
      <c r="B852" s="360"/>
      <c r="C852" s="361"/>
      <c r="D852" s="360"/>
      <c r="E852" s="360"/>
      <c r="F852" s="360"/>
      <c r="G852" s="360"/>
      <c r="H852" s="360"/>
      <c r="I852" s="362"/>
      <c r="J852" s="362"/>
      <c r="K852" s="362"/>
      <c r="L852" s="360"/>
      <c r="M852" s="360"/>
    </row>
    <row r="853" spans="1:13" ht="18.75">
      <c r="A853" s="360"/>
      <c r="B853" s="360"/>
      <c r="C853" s="361"/>
      <c r="D853" s="360"/>
      <c r="E853" s="360"/>
      <c r="F853" s="360"/>
      <c r="G853" s="360"/>
      <c r="H853" s="360"/>
      <c r="I853" s="362"/>
      <c r="J853" s="362"/>
      <c r="K853" s="362"/>
      <c r="L853" s="360"/>
      <c r="M853" s="360"/>
    </row>
    <row r="854" spans="1:13" ht="18.75">
      <c r="A854" s="360"/>
      <c r="B854" s="360"/>
      <c r="C854" s="361"/>
      <c r="D854" s="360"/>
      <c r="E854" s="360"/>
      <c r="F854" s="360"/>
      <c r="G854" s="360"/>
      <c r="H854" s="360"/>
      <c r="I854" s="362"/>
      <c r="J854" s="362"/>
      <c r="K854" s="362"/>
      <c r="L854" s="360"/>
      <c r="M854" s="360"/>
    </row>
    <row r="855" spans="1:13" ht="18.75">
      <c r="A855" s="360"/>
      <c r="B855" s="360"/>
      <c r="C855" s="361"/>
      <c r="D855" s="360"/>
      <c r="E855" s="360"/>
      <c r="F855" s="360"/>
      <c r="G855" s="360"/>
      <c r="H855" s="360"/>
      <c r="I855" s="362"/>
      <c r="J855" s="362"/>
      <c r="K855" s="362"/>
      <c r="L855" s="360"/>
      <c r="M855" s="360"/>
    </row>
    <row r="856" spans="1:13" ht="18.75">
      <c r="A856" s="360"/>
      <c r="B856" s="360"/>
      <c r="C856" s="361"/>
      <c r="D856" s="360"/>
      <c r="E856" s="360"/>
      <c r="F856" s="360"/>
      <c r="G856" s="360"/>
      <c r="H856" s="360"/>
      <c r="I856" s="362"/>
      <c r="J856" s="362"/>
      <c r="K856" s="362"/>
      <c r="L856" s="360"/>
      <c r="M856" s="360"/>
    </row>
    <row r="857" spans="1:13" ht="18.75">
      <c r="A857" s="360"/>
      <c r="B857" s="360"/>
      <c r="C857" s="361"/>
      <c r="D857" s="360"/>
      <c r="E857" s="360"/>
      <c r="F857" s="360"/>
      <c r="G857" s="360"/>
      <c r="H857" s="360"/>
      <c r="I857" s="362"/>
      <c r="J857" s="362"/>
      <c r="K857" s="362"/>
      <c r="L857" s="360"/>
      <c r="M857" s="360"/>
    </row>
    <row r="858" spans="1:13" ht="18.75">
      <c r="A858" s="360"/>
      <c r="B858" s="360"/>
      <c r="C858" s="361"/>
      <c r="D858" s="360"/>
      <c r="E858" s="360"/>
      <c r="F858" s="360"/>
      <c r="G858" s="360"/>
      <c r="H858" s="360"/>
      <c r="I858" s="362"/>
      <c r="J858" s="362"/>
      <c r="K858" s="362"/>
      <c r="L858" s="360"/>
      <c r="M858" s="360"/>
    </row>
    <row r="859" spans="1:13" ht="18.75">
      <c r="A859" s="360"/>
      <c r="B859" s="360"/>
      <c r="C859" s="361"/>
      <c r="D859" s="360"/>
      <c r="E859" s="360"/>
      <c r="F859" s="360"/>
      <c r="G859" s="360"/>
      <c r="H859" s="360"/>
      <c r="I859" s="362"/>
      <c r="J859" s="362"/>
      <c r="K859" s="362"/>
      <c r="L859" s="360"/>
      <c r="M859" s="360"/>
    </row>
    <row r="860" spans="1:13" ht="18.75">
      <c r="A860" s="360"/>
      <c r="B860" s="360"/>
      <c r="C860" s="361"/>
      <c r="D860" s="360"/>
      <c r="E860" s="360"/>
      <c r="F860" s="360"/>
      <c r="G860" s="360"/>
      <c r="H860" s="360"/>
      <c r="I860" s="362"/>
      <c r="J860" s="362"/>
      <c r="K860" s="362"/>
      <c r="L860" s="360"/>
      <c r="M860" s="360"/>
    </row>
    <row r="861" spans="1:13" ht="18.75">
      <c r="A861" s="360"/>
      <c r="B861" s="360"/>
      <c r="C861" s="361"/>
      <c r="D861" s="360"/>
      <c r="E861" s="360"/>
      <c r="F861" s="360"/>
      <c r="G861" s="360"/>
      <c r="H861" s="360"/>
      <c r="I861" s="362"/>
      <c r="J861" s="362"/>
      <c r="K861" s="362"/>
      <c r="L861" s="360"/>
      <c r="M861" s="360"/>
    </row>
    <row r="862" spans="1:13" ht="18.75">
      <c r="A862" s="360"/>
      <c r="B862" s="360"/>
      <c r="C862" s="361"/>
      <c r="D862" s="360"/>
      <c r="E862" s="360"/>
      <c r="F862" s="360"/>
      <c r="G862" s="360"/>
      <c r="H862" s="360"/>
      <c r="I862" s="362"/>
      <c r="J862" s="362"/>
      <c r="K862" s="362"/>
      <c r="L862" s="360"/>
      <c r="M862" s="360"/>
    </row>
    <row r="863" spans="1:13" ht="18.75">
      <c r="A863" s="360"/>
      <c r="B863" s="360"/>
      <c r="C863" s="361"/>
      <c r="D863" s="360"/>
      <c r="E863" s="360"/>
      <c r="F863" s="360"/>
      <c r="G863" s="360"/>
      <c r="H863" s="360"/>
      <c r="I863" s="362"/>
      <c r="J863" s="362"/>
      <c r="K863" s="362"/>
      <c r="L863" s="360"/>
      <c r="M863" s="360"/>
    </row>
    <row r="864" spans="1:13" ht="18.75">
      <c r="A864" s="360"/>
      <c r="B864" s="360"/>
      <c r="C864" s="361"/>
      <c r="D864" s="360"/>
      <c r="E864" s="360"/>
      <c r="F864" s="360"/>
      <c r="G864" s="360"/>
      <c r="H864" s="360"/>
      <c r="I864" s="362"/>
      <c r="J864" s="362"/>
      <c r="K864" s="362"/>
      <c r="L864" s="360"/>
      <c r="M864" s="360"/>
    </row>
    <row r="865" spans="1:13" ht="18.75">
      <c r="A865" s="360"/>
      <c r="B865" s="360"/>
      <c r="C865" s="361"/>
      <c r="D865" s="360"/>
      <c r="E865" s="360"/>
      <c r="F865" s="360"/>
      <c r="G865" s="360"/>
      <c r="H865" s="360"/>
      <c r="I865" s="362"/>
      <c r="J865" s="362"/>
      <c r="K865" s="362"/>
      <c r="L865" s="360"/>
      <c r="M865" s="360"/>
    </row>
    <row r="866" spans="1:13" ht="18.75">
      <c r="A866" s="360"/>
      <c r="B866" s="360"/>
      <c r="C866" s="361"/>
      <c r="D866" s="360"/>
      <c r="E866" s="360"/>
      <c r="F866" s="360"/>
      <c r="G866" s="360"/>
      <c r="H866" s="360"/>
      <c r="I866" s="362"/>
      <c r="J866" s="362"/>
      <c r="K866" s="362"/>
      <c r="L866" s="360"/>
      <c r="M866" s="360"/>
    </row>
    <row r="867" spans="1:13" ht="18.75">
      <c r="A867" s="360"/>
      <c r="B867" s="360"/>
      <c r="C867" s="361"/>
      <c r="D867" s="360"/>
      <c r="E867" s="360"/>
      <c r="F867" s="360"/>
      <c r="G867" s="360"/>
      <c r="H867" s="360"/>
      <c r="I867" s="362"/>
      <c r="J867" s="362"/>
      <c r="K867" s="362"/>
      <c r="L867" s="360"/>
      <c r="M867" s="360"/>
    </row>
    <row r="868" spans="1:13" ht="18.75">
      <c r="A868" s="360"/>
      <c r="B868" s="360"/>
      <c r="C868" s="361"/>
      <c r="D868" s="360"/>
      <c r="E868" s="360"/>
      <c r="F868" s="360"/>
      <c r="G868" s="360"/>
      <c r="H868" s="360"/>
      <c r="I868" s="362"/>
      <c r="J868" s="362"/>
      <c r="K868" s="362"/>
      <c r="L868" s="360"/>
      <c r="M868" s="360"/>
    </row>
    <row r="869" spans="1:13" ht="18.75">
      <c r="A869" s="360"/>
      <c r="B869" s="360"/>
      <c r="C869" s="361"/>
      <c r="D869" s="360"/>
      <c r="E869" s="360"/>
      <c r="F869" s="360"/>
      <c r="G869" s="360"/>
      <c r="H869" s="360"/>
      <c r="I869" s="362"/>
      <c r="J869" s="362"/>
      <c r="K869" s="362"/>
      <c r="L869" s="360"/>
      <c r="M869" s="360"/>
    </row>
    <row r="870" spans="1:13" ht="18.75">
      <c r="A870" s="360"/>
      <c r="B870" s="360"/>
      <c r="C870" s="361"/>
      <c r="D870" s="360"/>
      <c r="E870" s="360"/>
      <c r="F870" s="360"/>
      <c r="G870" s="360"/>
      <c r="H870" s="360"/>
      <c r="I870" s="362"/>
      <c r="J870" s="362"/>
      <c r="K870" s="362"/>
      <c r="L870" s="360"/>
      <c r="M870" s="360"/>
    </row>
    <row r="871" spans="1:13" ht="18.75">
      <c r="A871" s="360"/>
      <c r="B871" s="360"/>
      <c r="C871" s="361"/>
      <c r="D871" s="360"/>
      <c r="E871" s="360"/>
      <c r="F871" s="360"/>
      <c r="G871" s="360"/>
      <c r="H871" s="360"/>
      <c r="I871" s="362"/>
      <c r="J871" s="362"/>
      <c r="K871" s="362"/>
      <c r="L871" s="360"/>
      <c r="M871" s="360"/>
    </row>
    <row r="872" spans="1:13" ht="18.75">
      <c r="A872" s="360"/>
      <c r="B872" s="360"/>
      <c r="C872" s="361"/>
      <c r="D872" s="360"/>
      <c r="E872" s="360"/>
      <c r="F872" s="360"/>
      <c r="G872" s="360"/>
      <c r="H872" s="360"/>
      <c r="I872" s="362"/>
      <c r="J872" s="362"/>
      <c r="K872" s="362"/>
      <c r="L872" s="360"/>
      <c r="M872" s="360"/>
    </row>
    <row r="873" spans="1:13" ht="18.75">
      <c r="A873" s="360"/>
      <c r="B873" s="360"/>
      <c r="C873" s="361"/>
      <c r="D873" s="360"/>
      <c r="E873" s="360"/>
      <c r="F873" s="360"/>
      <c r="G873" s="360"/>
      <c r="H873" s="360"/>
      <c r="I873" s="362"/>
      <c r="J873" s="362"/>
      <c r="K873" s="362"/>
      <c r="L873" s="360"/>
      <c r="M873" s="360"/>
    </row>
    <row r="874" spans="1:13" ht="18.75">
      <c r="A874" s="360"/>
      <c r="B874" s="360"/>
      <c r="C874" s="361"/>
      <c r="D874" s="360"/>
      <c r="E874" s="360"/>
      <c r="F874" s="360"/>
      <c r="G874" s="360"/>
      <c r="H874" s="360"/>
      <c r="I874" s="362"/>
      <c r="J874" s="362"/>
      <c r="K874" s="362"/>
      <c r="L874" s="360"/>
      <c r="M874" s="360"/>
    </row>
    <row r="875" spans="1:13" ht="18.75">
      <c r="A875" s="360"/>
      <c r="B875" s="360"/>
      <c r="C875" s="361"/>
      <c r="D875" s="360"/>
      <c r="E875" s="360"/>
      <c r="F875" s="360"/>
      <c r="G875" s="360"/>
      <c r="H875" s="360"/>
      <c r="I875" s="362"/>
      <c r="J875" s="362"/>
      <c r="K875" s="362"/>
      <c r="L875" s="360"/>
      <c r="M875" s="360"/>
    </row>
    <row r="876" spans="1:13" ht="18.75">
      <c r="A876" s="360"/>
      <c r="B876" s="360"/>
      <c r="C876" s="361"/>
      <c r="D876" s="360"/>
      <c r="E876" s="360"/>
      <c r="F876" s="360"/>
      <c r="G876" s="360"/>
      <c r="H876" s="360"/>
      <c r="I876" s="362"/>
      <c r="J876" s="362"/>
      <c r="K876" s="362"/>
      <c r="L876" s="360"/>
      <c r="M876" s="360"/>
    </row>
    <row r="877" spans="1:13" ht="18.75">
      <c r="A877" s="360"/>
      <c r="B877" s="360"/>
      <c r="C877" s="361"/>
      <c r="D877" s="360"/>
      <c r="E877" s="360"/>
      <c r="F877" s="360"/>
      <c r="G877" s="360"/>
      <c r="H877" s="360"/>
      <c r="I877" s="362"/>
      <c r="J877" s="362"/>
      <c r="K877" s="362"/>
      <c r="L877" s="360"/>
      <c r="M877" s="360"/>
    </row>
    <row r="878" spans="1:13" ht="18.75">
      <c r="A878" s="360"/>
      <c r="B878" s="360"/>
      <c r="C878" s="361"/>
      <c r="D878" s="360"/>
      <c r="E878" s="360"/>
      <c r="F878" s="360"/>
      <c r="G878" s="360"/>
      <c r="H878" s="360"/>
      <c r="I878" s="362"/>
      <c r="J878" s="362"/>
      <c r="K878" s="362"/>
      <c r="L878" s="360"/>
      <c r="M878" s="360"/>
    </row>
    <row r="879" spans="1:13" ht="18.75">
      <c r="A879" s="360"/>
      <c r="B879" s="360"/>
      <c r="C879" s="361"/>
      <c r="D879" s="360"/>
      <c r="E879" s="360"/>
      <c r="F879" s="360"/>
      <c r="G879" s="360"/>
      <c r="H879" s="360"/>
      <c r="I879" s="362"/>
      <c r="J879" s="362"/>
      <c r="K879" s="362"/>
      <c r="L879" s="360"/>
      <c r="M879" s="360"/>
    </row>
    <row r="880" spans="1:13" ht="18.75">
      <c r="A880" s="360"/>
      <c r="B880" s="360"/>
      <c r="C880" s="361"/>
      <c r="D880" s="360"/>
      <c r="E880" s="360"/>
      <c r="F880" s="360"/>
      <c r="G880" s="360"/>
      <c r="H880" s="360"/>
      <c r="I880" s="362"/>
      <c r="J880" s="362"/>
      <c r="K880" s="362"/>
      <c r="L880" s="360"/>
      <c r="M880" s="360"/>
    </row>
    <row r="881" spans="1:13" ht="18.75">
      <c r="A881" s="360"/>
      <c r="B881" s="360"/>
      <c r="C881" s="361"/>
      <c r="D881" s="360"/>
      <c r="E881" s="360"/>
      <c r="F881" s="360"/>
      <c r="G881" s="360"/>
      <c r="H881" s="360"/>
      <c r="I881" s="362"/>
      <c r="J881" s="362"/>
      <c r="K881" s="362"/>
      <c r="L881" s="360"/>
      <c r="M881" s="360"/>
    </row>
    <row r="882" spans="1:13" ht="18.75">
      <c r="A882" s="360"/>
      <c r="B882" s="360"/>
      <c r="C882" s="361"/>
      <c r="D882" s="360"/>
      <c r="E882" s="360"/>
      <c r="F882" s="360"/>
      <c r="G882" s="360"/>
      <c r="H882" s="360"/>
      <c r="I882" s="362"/>
      <c r="J882" s="362"/>
      <c r="K882" s="362"/>
      <c r="L882" s="360"/>
      <c r="M882" s="360"/>
    </row>
    <row r="883" spans="1:13" ht="18.75">
      <c r="A883" s="360"/>
      <c r="B883" s="360"/>
      <c r="C883" s="361"/>
      <c r="D883" s="360"/>
      <c r="E883" s="360"/>
      <c r="F883" s="360"/>
      <c r="G883" s="360"/>
      <c r="H883" s="360"/>
      <c r="I883" s="362"/>
      <c r="J883" s="362"/>
      <c r="K883" s="362"/>
      <c r="L883" s="360"/>
      <c r="M883" s="360"/>
    </row>
    <row r="884" spans="1:13" ht="18.75">
      <c r="A884" s="360"/>
      <c r="B884" s="360"/>
      <c r="C884" s="361"/>
      <c r="D884" s="360"/>
      <c r="E884" s="360"/>
      <c r="F884" s="360"/>
      <c r="G884" s="360"/>
      <c r="H884" s="360"/>
      <c r="I884" s="362"/>
      <c r="J884" s="362"/>
      <c r="K884" s="362"/>
      <c r="L884" s="360"/>
      <c r="M884" s="360"/>
    </row>
    <row r="885" spans="1:13" ht="18.75">
      <c r="A885" s="360"/>
      <c r="B885" s="360"/>
      <c r="C885" s="361"/>
      <c r="D885" s="360"/>
      <c r="E885" s="360"/>
      <c r="F885" s="360"/>
      <c r="G885" s="360"/>
      <c r="H885" s="360"/>
      <c r="I885" s="362"/>
      <c r="J885" s="362"/>
      <c r="K885" s="362"/>
      <c r="L885" s="360"/>
      <c r="M885" s="360"/>
    </row>
    <row r="886" spans="1:13" ht="18.75">
      <c r="A886" s="360"/>
      <c r="B886" s="360"/>
      <c r="C886" s="361"/>
      <c r="D886" s="360"/>
      <c r="E886" s="360"/>
      <c r="F886" s="360"/>
      <c r="G886" s="360"/>
      <c r="H886" s="360"/>
      <c r="I886" s="362"/>
      <c r="J886" s="362"/>
      <c r="K886" s="362"/>
      <c r="L886" s="360"/>
      <c r="M886" s="360"/>
    </row>
    <row r="887" spans="1:13" ht="18.75">
      <c r="A887" s="360"/>
      <c r="B887" s="360"/>
      <c r="C887" s="361"/>
      <c r="D887" s="360"/>
      <c r="E887" s="360"/>
      <c r="F887" s="360"/>
      <c r="G887" s="360"/>
      <c r="H887" s="360"/>
      <c r="I887" s="362"/>
      <c r="J887" s="362"/>
      <c r="K887" s="362"/>
      <c r="L887" s="360"/>
      <c r="M887" s="360"/>
    </row>
    <row r="888" spans="1:13" ht="18.75">
      <c r="A888" s="360"/>
      <c r="B888" s="360"/>
      <c r="C888" s="361"/>
      <c r="D888" s="360"/>
      <c r="E888" s="360"/>
      <c r="F888" s="360"/>
      <c r="G888" s="360"/>
      <c r="H888" s="360"/>
      <c r="I888" s="362"/>
      <c r="J888" s="362"/>
      <c r="K888" s="362"/>
      <c r="L888" s="360"/>
      <c r="M888" s="360"/>
    </row>
    <row r="889" spans="1:13" ht="18.75">
      <c r="A889" s="360"/>
      <c r="B889" s="360"/>
      <c r="C889" s="361"/>
      <c r="D889" s="360"/>
      <c r="E889" s="360"/>
      <c r="F889" s="360"/>
      <c r="G889" s="360"/>
      <c r="H889" s="360"/>
      <c r="I889" s="362"/>
      <c r="J889" s="362"/>
      <c r="K889" s="362"/>
      <c r="L889" s="360"/>
      <c r="M889" s="360"/>
    </row>
    <row r="890" spans="1:13" ht="18.75">
      <c r="A890" s="360"/>
      <c r="B890" s="360"/>
      <c r="C890" s="361"/>
      <c r="D890" s="360"/>
      <c r="E890" s="360"/>
      <c r="F890" s="360"/>
      <c r="G890" s="360"/>
      <c r="H890" s="360"/>
      <c r="I890" s="362"/>
      <c r="J890" s="362"/>
      <c r="K890" s="362"/>
      <c r="L890" s="360"/>
      <c r="M890" s="360"/>
    </row>
    <row r="891" spans="1:13" ht="18.75">
      <c r="A891" s="360"/>
      <c r="B891" s="360"/>
      <c r="C891" s="361"/>
      <c r="D891" s="360"/>
      <c r="E891" s="360"/>
      <c r="F891" s="360"/>
      <c r="G891" s="360"/>
      <c r="H891" s="360"/>
      <c r="I891" s="362"/>
      <c r="J891" s="362"/>
      <c r="K891" s="362"/>
      <c r="L891" s="360"/>
      <c r="M891" s="360"/>
    </row>
    <row r="892" spans="1:13" ht="18.75">
      <c r="A892" s="360"/>
      <c r="B892" s="360"/>
      <c r="C892" s="361"/>
      <c r="D892" s="360"/>
      <c r="E892" s="360"/>
      <c r="F892" s="360"/>
      <c r="G892" s="360"/>
      <c r="H892" s="360"/>
      <c r="I892" s="362"/>
      <c r="J892" s="362"/>
      <c r="K892" s="362"/>
      <c r="L892" s="360"/>
      <c r="M892" s="360"/>
    </row>
    <row r="893" spans="1:13" ht="18.75">
      <c r="A893" s="360"/>
      <c r="B893" s="360"/>
      <c r="C893" s="361"/>
      <c r="D893" s="360"/>
      <c r="E893" s="360"/>
      <c r="F893" s="360"/>
      <c r="G893" s="360"/>
      <c r="H893" s="360"/>
      <c r="I893" s="362"/>
      <c r="J893" s="362"/>
      <c r="K893" s="362"/>
      <c r="L893" s="360"/>
      <c r="M893" s="360"/>
    </row>
    <row r="894" spans="1:13" ht="18.75">
      <c r="A894" s="360"/>
      <c r="B894" s="360"/>
      <c r="C894" s="361"/>
      <c r="D894" s="360"/>
      <c r="E894" s="360"/>
      <c r="F894" s="360"/>
      <c r="G894" s="360"/>
      <c r="H894" s="360"/>
      <c r="I894" s="362"/>
      <c r="J894" s="362"/>
      <c r="K894" s="362"/>
      <c r="L894" s="360"/>
      <c r="M894" s="360"/>
    </row>
    <row r="895" spans="1:13" ht="18.75">
      <c r="A895" s="360"/>
      <c r="B895" s="360"/>
      <c r="C895" s="361"/>
      <c r="D895" s="360"/>
      <c r="E895" s="360"/>
      <c r="F895" s="360"/>
      <c r="G895" s="360"/>
      <c r="H895" s="360"/>
      <c r="I895" s="362"/>
      <c r="J895" s="362"/>
      <c r="K895" s="362"/>
      <c r="L895" s="360"/>
      <c r="M895" s="360"/>
    </row>
    <row r="896" spans="1:13" ht="18.75">
      <c r="A896" s="360"/>
      <c r="B896" s="360"/>
      <c r="C896" s="361"/>
      <c r="D896" s="360"/>
      <c r="E896" s="360"/>
      <c r="F896" s="360"/>
      <c r="G896" s="360"/>
      <c r="H896" s="360"/>
      <c r="I896" s="362"/>
      <c r="J896" s="362"/>
      <c r="K896" s="362"/>
      <c r="L896" s="360"/>
      <c r="M896" s="360"/>
    </row>
    <row r="897" spans="1:13" ht="18.75">
      <c r="A897" s="360"/>
      <c r="B897" s="360"/>
      <c r="C897" s="361"/>
      <c r="D897" s="360"/>
      <c r="E897" s="360"/>
      <c r="F897" s="360"/>
      <c r="G897" s="360"/>
      <c r="H897" s="360"/>
      <c r="I897" s="362"/>
      <c r="J897" s="362"/>
      <c r="K897" s="362"/>
      <c r="L897" s="360"/>
      <c r="M897" s="360"/>
    </row>
    <row r="898" spans="1:13" ht="18.75">
      <c r="A898" s="360"/>
      <c r="B898" s="360"/>
      <c r="C898" s="361"/>
      <c r="D898" s="360"/>
      <c r="E898" s="360"/>
      <c r="F898" s="360"/>
      <c r="G898" s="360"/>
      <c r="H898" s="360"/>
      <c r="I898" s="362"/>
      <c r="J898" s="362"/>
      <c r="K898" s="362"/>
      <c r="L898" s="360"/>
      <c r="M898" s="360"/>
    </row>
    <row r="899" spans="1:13" ht="18.75">
      <c r="A899" s="360"/>
      <c r="B899" s="360"/>
      <c r="C899" s="361"/>
      <c r="D899" s="360"/>
      <c r="E899" s="360"/>
      <c r="F899" s="360"/>
      <c r="G899" s="360"/>
      <c r="H899" s="360"/>
      <c r="I899" s="362"/>
      <c r="J899" s="362"/>
      <c r="K899" s="362"/>
      <c r="L899" s="360"/>
      <c r="M899" s="360"/>
    </row>
    <row r="900" spans="1:13" ht="18.75">
      <c r="A900" s="360"/>
      <c r="B900" s="360"/>
      <c r="C900" s="361"/>
      <c r="D900" s="360"/>
      <c r="E900" s="360"/>
      <c r="F900" s="360"/>
      <c r="G900" s="360"/>
      <c r="H900" s="360"/>
      <c r="I900" s="362"/>
      <c r="J900" s="362"/>
      <c r="K900" s="362"/>
      <c r="L900" s="360"/>
      <c r="M900" s="360"/>
    </row>
    <row r="901" spans="1:13" ht="18.75">
      <c r="A901" s="360"/>
      <c r="B901" s="360"/>
      <c r="C901" s="361"/>
      <c r="D901" s="360"/>
      <c r="E901" s="360"/>
      <c r="F901" s="360"/>
      <c r="G901" s="360"/>
      <c r="H901" s="360"/>
      <c r="I901" s="362"/>
      <c r="J901" s="362"/>
      <c r="K901" s="362"/>
      <c r="L901" s="360"/>
      <c r="M901" s="360"/>
    </row>
    <row r="902" spans="1:13" ht="18.75">
      <c r="A902" s="360"/>
      <c r="B902" s="360"/>
      <c r="C902" s="361"/>
      <c r="D902" s="360"/>
      <c r="E902" s="360"/>
      <c r="F902" s="360"/>
      <c r="G902" s="360"/>
      <c r="H902" s="360"/>
      <c r="I902" s="362"/>
      <c r="J902" s="362"/>
      <c r="K902" s="362"/>
      <c r="L902" s="360"/>
      <c r="M902" s="360"/>
    </row>
    <row r="903" spans="1:13" ht="18.75">
      <c r="A903" s="360"/>
      <c r="B903" s="360"/>
      <c r="C903" s="361"/>
      <c r="D903" s="360"/>
      <c r="E903" s="360"/>
      <c r="F903" s="360"/>
      <c r="G903" s="360"/>
      <c r="H903" s="360"/>
      <c r="I903" s="362"/>
      <c r="J903" s="362"/>
      <c r="K903" s="362"/>
      <c r="L903" s="360"/>
      <c r="M903" s="360"/>
    </row>
    <row r="904" spans="1:13" ht="18.75">
      <c r="A904" s="360"/>
      <c r="B904" s="360"/>
      <c r="C904" s="361"/>
      <c r="D904" s="360"/>
      <c r="E904" s="360"/>
      <c r="F904" s="360"/>
      <c r="G904" s="360"/>
      <c r="H904" s="360"/>
      <c r="I904" s="362"/>
      <c r="J904" s="362"/>
      <c r="K904" s="362"/>
      <c r="L904" s="360"/>
      <c r="M904" s="360"/>
    </row>
    <row r="905" spans="1:13" ht="18.75">
      <c r="A905" s="360"/>
      <c r="B905" s="360"/>
      <c r="C905" s="361"/>
      <c r="D905" s="360"/>
      <c r="E905" s="360"/>
      <c r="F905" s="360"/>
      <c r="G905" s="360"/>
      <c r="H905" s="360"/>
      <c r="I905" s="362"/>
      <c r="J905" s="362"/>
      <c r="K905" s="362"/>
      <c r="L905" s="360"/>
      <c r="M905" s="360"/>
    </row>
    <row r="906" spans="1:13" ht="18.75">
      <c r="A906" s="360"/>
      <c r="B906" s="360"/>
      <c r="C906" s="361"/>
      <c r="D906" s="360"/>
      <c r="E906" s="360"/>
      <c r="F906" s="360"/>
      <c r="G906" s="360"/>
      <c r="H906" s="360"/>
      <c r="I906" s="362"/>
      <c r="J906" s="362"/>
      <c r="K906" s="362"/>
      <c r="L906" s="360"/>
      <c r="M906" s="360"/>
    </row>
    <row r="907" spans="1:13" ht="18.75">
      <c r="A907" s="360"/>
      <c r="B907" s="360"/>
      <c r="C907" s="361"/>
      <c r="D907" s="360"/>
      <c r="E907" s="360"/>
      <c r="F907" s="360"/>
      <c r="G907" s="360"/>
      <c r="H907" s="360"/>
      <c r="I907" s="362"/>
      <c r="J907" s="362"/>
      <c r="K907" s="362"/>
      <c r="L907" s="360"/>
      <c r="M907" s="360"/>
    </row>
    <row r="908" spans="1:13" ht="18.75">
      <c r="A908" s="360"/>
      <c r="B908" s="360"/>
      <c r="C908" s="361"/>
      <c r="D908" s="360"/>
      <c r="E908" s="360"/>
      <c r="F908" s="360"/>
      <c r="G908" s="360"/>
      <c r="H908" s="360"/>
      <c r="I908" s="362"/>
      <c r="J908" s="362"/>
      <c r="K908" s="362"/>
      <c r="L908" s="360"/>
      <c r="M908" s="360"/>
    </row>
    <row r="909" spans="1:13" ht="18.75">
      <c r="A909" s="360"/>
      <c r="B909" s="360"/>
      <c r="C909" s="361"/>
      <c r="D909" s="360"/>
      <c r="E909" s="360"/>
      <c r="F909" s="360"/>
      <c r="G909" s="360"/>
      <c r="H909" s="360"/>
      <c r="I909" s="362"/>
      <c r="J909" s="362"/>
      <c r="K909" s="362"/>
      <c r="L909" s="360"/>
      <c r="M909" s="360"/>
    </row>
    <row r="910" spans="1:13" ht="18.75">
      <c r="A910" s="360"/>
      <c r="B910" s="360"/>
      <c r="C910" s="361"/>
      <c r="D910" s="360"/>
      <c r="E910" s="360"/>
      <c r="F910" s="360"/>
      <c r="G910" s="360"/>
      <c r="H910" s="360"/>
      <c r="I910" s="362"/>
      <c r="J910" s="362"/>
      <c r="K910" s="362"/>
      <c r="L910" s="360"/>
      <c r="M910" s="360"/>
    </row>
    <row r="911" spans="1:13" ht="18.75">
      <c r="A911" s="360"/>
      <c r="B911" s="360"/>
      <c r="C911" s="361"/>
      <c r="D911" s="360"/>
      <c r="E911" s="360"/>
      <c r="F911" s="360"/>
      <c r="G911" s="360"/>
      <c r="H911" s="360"/>
      <c r="I911" s="362"/>
      <c r="J911" s="362"/>
      <c r="K911" s="362"/>
      <c r="L911" s="360"/>
      <c r="M911" s="360"/>
    </row>
    <row r="912" spans="1:13" ht="18.75">
      <c r="A912" s="360"/>
      <c r="B912" s="360"/>
      <c r="C912" s="361"/>
      <c r="D912" s="360"/>
      <c r="E912" s="360"/>
      <c r="F912" s="360"/>
      <c r="G912" s="360"/>
      <c r="H912" s="360"/>
      <c r="I912" s="362"/>
      <c r="J912" s="362"/>
      <c r="K912" s="362"/>
      <c r="L912" s="360"/>
      <c r="M912" s="360"/>
    </row>
    <row r="913" spans="1:13" ht="18.75">
      <c r="A913" s="360"/>
      <c r="B913" s="360"/>
      <c r="C913" s="361"/>
      <c r="D913" s="360"/>
      <c r="E913" s="360"/>
      <c r="F913" s="360"/>
      <c r="G913" s="360"/>
      <c r="H913" s="360"/>
      <c r="I913" s="362"/>
      <c r="J913" s="362"/>
      <c r="K913" s="362"/>
      <c r="L913" s="360"/>
      <c r="M913" s="360"/>
    </row>
    <row r="914" spans="1:13" ht="18.75">
      <c r="A914" s="360"/>
      <c r="B914" s="360"/>
      <c r="C914" s="361"/>
      <c r="D914" s="360"/>
      <c r="E914" s="360"/>
      <c r="F914" s="360"/>
      <c r="G914" s="360"/>
      <c r="H914" s="360"/>
      <c r="I914" s="362"/>
      <c r="J914" s="362"/>
      <c r="K914" s="362"/>
      <c r="L914" s="360"/>
      <c r="M914" s="360"/>
    </row>
    <row r="915" spans="1:13" ht="18.75">
      <c r="A915" s="360"/>
      <c r="B915" s="360"/>
      <c r="C915" s="361"/>
      <c r="D915" s="360"/>
      <c r="E915" s="360"/>
      <c r="F915" s="360"/>
      <c r="G915" s="360"/>
      <c r="H915" s="360"/>
      <c r="I915" s="362"/>
      <c r="J915" s="362"/>
      <c r="K915" s="362"/>
      <c r="L915" s="360"/>
      <c r="M915" s="360"/>
    </row>
    <row r="916" spans="1:13" ht="18.75">
      <c r="A916" s="360"/>
      <c r="B916" s="360"/>
      <c r="C916" s="361"/>
      <c r="D916" s="360"/>
      <c r="E916" s="360"/>
      <c r="F916" s="360"/>
      <c r="G916" s="360"/>
      <c r="H916" s="360"/>
      <c r="I916" s="362"/>
      <c r="J916" s="362"/>
      <c r="K916" s="362"/>
      <c r="L916" s="360"/>
      <c r="M916" s="360"/>
    </row>
    <row r="917" spans="1:13" ht="18.75">
      <c r="A917" s="360"/>
      <c r="B917" s="360"/>
      <c r="C917" s="361"/>
      <c r="D917" s="360"/>
      <c r="E917" s="360"/>
      <c r="F917" s="360"/>
      <c r="G917" s="360"/>
      <c r="H917" s="360"/>
      <c r="I917" s="362"/>
      <c r="J917" s="362"/>
      <c r="K917" s="362"/>
      <c r="L917" s="360"/>
      <c r="M917" s="360"/>
    </row>
    <row r="918" spans="1:13" ht="18.75">
      <c r="A918" s="360"/>
      <c r="B918" s="360"/>
      <c r="C918" s="361"/>
      <c r="D918" s="360"/>
      <c r="E918" s="360"/>
      <c r="F918" s="360"/>
      <c r="G918" s="360"/>
      <c r="H918" s="360"/>
      <c r="I918" s="362"/>
      <c r="J918" s="362"/>
      <c r="K918" s="362"/>
      <c r="L918" s="360"/>
      <c r="M918" s="360"/>
    </row>
    <row r="919" spans="1:13" ht="18.75">
      <c r="A919" s="360"/>
      <c r="B919" s="360"/>
      <c r="C919" s="361"/>
      <c r="D919" s="360"/>
      <c r="E919" s="360"/>
      <c r="F919" s="360"/>
      <c r="G919" s="360"/>
      <c r="H919" s="360"/>
      <c r="I919" s="362"/>
      <c r="J919" s="362"/>
      <c r="K919" s="362"/>
      <c r="L919" s="360"/>
      <c r="M919" s="360"/>
    </row>
    <row r="920" spans="1:13" ht="18.75">
      <c r="A920" s="360"/>
      <c r="B920" s="360"/>
      <c r="C920" s="361"/>
      <c r="D920" s="360"/>
      <c r="E920" s="360"/>
      <c r="F920" s="360"/>
      <c r="G920" s="360"/>
      <c r="H920" s="360"/>
      <c r="I920" s="362"/>
      <c r="J920" s="362"/>
      <c r="K920" s="362"/>
      <c r="L920" s="360"/>
      <c r="M920" s="360"/>
    </row>
    <row r="921" spans="1:13" ht="18.75">
      <c r="A921" s="360"/>
      <c r="B921" s="360"/>
      <c r="C921" s="361"/>
      <c r="D921" s="360"/>
      <c r="E921" s="360"/>
      <c r="F921" s="360"/>
      <c r="G921" s="360"/>
      <c r="H921" s="360"/>
      <c r="I921" s="362"/>
      <c r="J921" s="362"/>
      <c r="K921" s="362"/>
      <c r="L921" s="360"/>
      <c r="M921" s="360"/>
    </row>
    <row r="922" spans="1:13" ht="18.75">
      <c r="A922" s="360"/>
      <c r="B922" s="360"/>
      <c r="C922" s="361"/>
      <c r="D922" s="360"/>
      <c r="E922" s="360"/>
      <c r="F922" s="360"/>
      <c r="G922" s="360"/>
      <c r="H922" s="360"/>
      <c r="I922" s="362"/>
      <c r="J922" s="362"/>
      <c r="K922" s="362"/>
      <c r="L922" s="360"/>
      <c r="M922" s="360"/>
    </row>
    <row r="923" spans="1:13" ht="18.75">
      <c r="A923" s="360"/>
      <c r="B923" s="360"/>
      <c r="C923" s="361"/>
      <c r="D923" s="360"/>
      <c r="E923" s="360"/>
      <c r="F923" s="360"/>
      <c r="G923" s="360"/>
      <c r="H923" s="360"/>
      <c r="I923" s="362"/>
      <c r="J923" s="362"/>
      <c r="K923" s="362"/>
      <c r="L923" s="360"/>
      <c r="M923" s="360"/>
    </row>
    <row r="924" spans="1:13" ht="18.75">
      <c r="A924" s="360"/>
      <c r="B924" s="360"/>
      <c r="C924" s="361"/>
      <c r="D924" s="360"/>
      <c r="E924" s="360"/>
      <c r="F924" s="360"/>
      <c r="G924" s="360"/>
      <c r="H924" s="360"/>
      <c r="I924" s="362"/>
      <c r="J924" s="362"/>
      <c r="K924" s="362"/>
      <c r="L924" s="360"/>
      <c r="M924" s="360"/>
    </row>
    <row r="925" spans="1:13" ht="18.75">
      <c r="A925" s="360"/>
      <c r="B925" s="360"/>
      <c r="C925" s="361"/>
      <c r="D925" s="360"/>
      <c r="E925" s="360"/>
      <c r="F925" s="360"/>
      <c r="G925" s="360"/>
      <c r="H925" s="360"/>
      <c r="I925" s="362"/>
      <c r="J925" s="362"/>
      <c r="K925" s="362"/>
      <c r="L925" s="360"/>
      <c r="M925" s="360"/>
    </row>
    <row r="926" spans="1:13" ht="18.75">
      <c r="A926" s="360"/>
      <c r="B926" s="360"/>
      <c r="C926" s="361"/>
      <c r="D926" s="360"/>
      <c r="E926" s="360"/>
      <c r="F926" s="360"/>
      <c r="G926" s="360"/>
      <c r="H926" s="360"/>
      <c r="I926" s="362"/>
      <c r="J926" s="362"/>
      <c r="K926" s="362"/>
      <c r="L926" s="360"/>
      <c r="M926" s="360"/>
    </row>
    <row r="927" spans="1:13" ht="18.75">
      <c r="A927" s="360"/>
      <c r="B927" s="360"/>
      <c r="C927" s="361"/>
      <c r="D927" s="360"/>
      <c r="E927" s="360"/>
      <c r="F927" s="360"/>
      <c r="G927" s="360"/>
      <c r="H927" s="360"/>
      <c r="I927" s="362"/>
      <c r="J927" s="362"/>
      <c r="K927" s="362"/>
      <c r="L927" s="360"/>
      <c r="M927" s="360"/>
    </row>
    <row r="928" spans="1:13" ht="18.75">
      <c r="A928" s="360"/>
      <c r="B928" s="360"/>
      <c r="C928" s="361"/>
      <c r="D928" s="360"/>
      <c r="E928" s="360"/>
      <c r="F928" s="360"/>
      <c r="G928" s="360"/>
      <c r="H928" s="360"/>
      <c r="I928" s="362"/>
      <c r="J928" s="362"/>
      <c r="K928" s="362"/>
      <c r="L928" s="360"/>
      <c r="M928" s="360"/>
    </row>
    <row r="929" spans="1:13" ht="18.75">
      <c r="A929" s="360"/>
      <c r="B929" s="360"/>
      <c r="C929" s="361"/>
      <c r="D929" s="360"/>
      <c r="E929" s="360"/>
      <c r="F929" s="360"/>
      <c r="G929" s="360"/>
      <c r="H929" s="360"/>
      <c r="I929" s="362"/>
      <c r="J929" s="362"/>
      <c r="K929" s="362"/>
      <c r="L929" s="360"/>
      <c r="M929" s="360"/>
    </row>
    <row r="930" spans="1:13" ht="18.75">
      <c r="A930" s="360"/>
      <c r="B930" s="360"/>
      <c r="C930" s="361"/>
      <c r="D930" s="360"/>
      <c r="E930" s="360"/>
      <c r="F930" s="360"/>
      <c r="G930" s="360"/>
      <c r="H930" s="360"/>
      <c r="I930" s="362"/>
      <c r="J930" s="362"/>
      <c r="K930" s="362"/>
      <c r="L930" s="360"/>
      <c r="M930" s="360"/>
    </row>
    <row r="931" spans="1:13" ht="18.75">
      <c r="A931" s="360"/>
      <c r="B931" s="360"/>
      <c r="C931" s="361"/>
      <c r="D931" s="360"/>
      <c r="E931" s="360"/>
      <c r="F931" s="360"/>
      <c r="G931" s="360"/>
      <c r="H931" s="360"/>
      <c r="I931" s="362"/>
      <c r="J931" s="362"/>
      <c r="K931" s="362"/>
      <c r="L931" s="360"/>
      <c r="M931" s="360"/>
    </row>
    <row r="932" spans="1:13" ht="18.75">
      <c r="A932" s="360"/>
      <c r="B932" s="360"/>
      <c r="C932" s="361"/>
      <c r="D932" s="360"/>
      <c r="E932" s="360"/>
      <c r="F932" s="360"/>
      <c r="G932" s="360"/>
      <c r="H932" s="360"/>
      <c r="I932" s="362"/>
      <c r="J932" s="362"/>
      <c r="K932" s="362"/>
      <c r="L932" s="360"/>
      <c r="M932" s="360"/>
    </row>
    <row r="933" spans="1:13" ht="18.75">
      <c r="A933" s="360"/>
      <c r="B933" s="360"/>
      <c r="C933" s="361"/>
      <c r="D933" s="360"/>
      <c r="E933" s="360"/>
      <c r="F933" s="360"/>
      <c r="G933" s="360"/>
      <c r="H933" s="360"/>
      <c r="I933" s="362"/>
      <c r="J933" s="362"/>
      <c r="K933" s="362"/>
      <c r="L933" s="360"/>
      <c r="M933" s="360"/>
    </row>
    <row r="934" spans="1:13" ht="18.75">
      <c r="A934" s="360"/>
      <c r="B934" s="360"/>
      <c r="C934" s="361"/>
      <c r="D934" s="360"/>
      <c r="E934" s="360"/>
      <c r="F934" s="360"/>
      <c r="G934" s="360"/>
      <c r="H934" s="360"/>
      <c r="I934" s="362"/>
      <c r="J934" s="362"/>
      <c r="K934" s="362"/>
      <c r="L934" s="360"/>
      <c r="M934" s="360"/>
    </row>
    <row r="935" spans="1:13" ht="18.75">
      <c r="A935" s="360"/>
      <c r="B935" s="360"/>
      <c r="C935" s="361"/>
      <c r="D935" s="360"/>
      <c r="E935" s="360"/>
      <c r="F935" s="360"/>
      <c r="G935" s="360"/>
      <c r="H935" s="360"/>
      <c r="I935" s="362"/>
      <c r="J935" s="362"/>
      <c r="K935" s="362"/>
      <c r="L935" s="360"/>
      <c r="M935" s="360"/>
    </row>
    <row r="936" spans="1:13" ht="18.75">
      <c r="A936" s="360"/>
      <c r="B936" s="360"/>
      <c r="C936" s="361"/>
      <c r="D936" s="360"/>
      <c r="E936" s="360"/>
      <c r="F936" s="360"/>
      <c r="G936" s="360"/>
      <c r="H936" s="360"/>
      <c r="I936" s="362"/>
      <c r="J936" s="362"/>
      <c r="K936" s="362"/>
      <c r="L936" s="360"/>
      <c r="M936" s="360"/>
    </row>
    <row r="937" spans="1:13" ht="18.75">
      <c r="A937" s="360"/>
      <c r="B937" s="360"/>
      <c r="C937" s="361"/>
      <c r="D937" s="360"/>
      <c r="E937" s="360"/>
      <c r="F937" s="360"/>
      <c r="G937" s="360"/>
      <c r="H937" s="360"/>
      <c r="I937" s="362"/>
      <c r="J937" s="362"/>
      <c r="K937" s="362"/>
      <c r="L937" s="360"/>
      <c r="M937" s="360"/>
    </row>
    <row r="938" spans="1:13" ht="18.75">
      <c r="A938" s="360"/>
      <c r="B938" s="360"/>
      <c r="C938" s="361"/>
      <c r="D938" s="360"/>
      <c r="E938" s="360"/>
      <c r="F938" s="360"/>
      <c r="G938" s="360"/>
      <c r="H938" s="360"/>
      <c r="I938" s="362"/>
      <c r="J938" s="362"/>
      <c r="K938" s="362"/>
      <c r="L938" s="360"/>
      <c r="M938" s="360"/>
    </row>
    <row r="939" spans="1:13" ht="18.75">
      <c r="A939" s="360"/>
      <c r="B939" s="360"/>
      <c r="C939" s="361"/>
      <c r="D939" s="360"/>
      <c r="E939" s="360"/>
      <c r="F939" s="360"/>
      <c r="G939" s="360"/>
      <c r="H939" s="360"/>
      <c r="I939" s="362"/>
      <c r="J939" s="362"/>
      <c r="K939" s="362"/>
      <c r="L939" s="360"/>
      <c r="M939" s="360"/>
    </row>
    <row r="940" spans="1:13" ht="18.75">
      <c r="A940" s="360"/>
      <c r="B940" s="360"/>
      <c r="C940" s="361"/>
      <c r="D940" s="360"/>
      <c r="E940" s="360"/>
      <c r="F940" s="360"/>
      <c r="G940" s="360"/>
      <c r="H940" s="360"/>
      <c r="I940" s="362"/>
      <c r="J940" s="362"/>
      <c r="K940" s="362"/>
      <c r="L940" s="360"/>
      <c r="M940" s="360"/>
    </row>
    <row r="941" spans="1:13" ht="18.75">
      <c r="A941" s="360"/>
      <c r="B941" s="360"/>
      <c r="C941" s="361"/>
      <c r="D941" s="360"/>
      <c r="E941" s="360"/>
      <c r="F941" s="360"/>
      <c r="G941" s="360"/>
      <c r="H941" s="360"/>
      <c r="I941" s="362"/>
      <c r="J941" s="362"/>
      <c r="K941" s="362"/>
      <c r="L941" s="360"/>
      <c r="M941" s="360"/>
    </row>
    <row r="942" spans="1:13" ht="18.75">
      <c r="A942" s="360"/>
      <c r="B942" s="360"/>
      <c r="C942" s="361"/>
      <c r="D942" s="360"/>
      <c r="E942" s="360"/>
      <c r="F942" s="360"/>
      <c r="G942" s="360"/>
      <c r="H942" s="360"/>
      <c r="I942" s="362"/>
      <c r="J942" s="362"/>
      <c r="K942" s="362"/>
      <c r="L942" s="360"/>
      <c r="M942" s="360"/>
    </row>
    <row r="943" spans="1:13" ht="18.75">
      <c r="A943" s="360"/>
      <c r="B943" s="360"/>
      <c r="C943" s="361"/>
      <c r="D943" s="360"/>
      <c r="E943" s="360"/>
      <c r="F943" s="360"/>
      <c r="G943" s="360"/>
      <c r="H943" s="360"/>
      <c r="I943" s="362"/>
      <c r="J943" s="362"/>
      <c r="K943" s="362"/>
      <c r="L943" s="360"/>
      <c r="M943" s="360"/>
    </row>
    <row r="944" spans="1:13" ht="18.75">
      <c r="A944" s="360"/>
      <c r="B944" s="360"/>
      <c r="C944" s="361"/>
      <c r="D944" s="360"/>
      <c r="E944" s="360"/>
      <c r="F944" s="360"/>
      <c r="G944" s="360"/>
      <c r="H944" s="360"/>
      <c r="I944" s="362"/>
      <c r="J944" s="362"/>
      <c r="K944" s="362"/>
      <c r="L944" s="360"/>
      <c r="M944" s="360"/>
    </row>
    <row r="945" spans="1:13" ht="18.75">
      <c r="A945" s="360"/>
      <c r="B945" s="360"/>
      <c r="C945" s="361"/>
      <c r="D945" s="360"/>
      <c r="E945" s="360"/>
      <c r="F945" s="360"/>
      <c r="G945" s="360"/>
      <c r="H945" s="360"/>
      <c r="I945" s="362"/>
      <c r="J945" s="362"/>
      <c r="K945" s="362"/>
      <c r="L945" s="360"/>
      <c r="M945" s="360"/>
    </row>
    <row r="946" spans="1:13" ht="18.75">
      <c r="A946" s="360"/>
      <c r="B946" s="360"/>
      <c r="C946" s="361"/>
      <c r="D946" s="360"/>
      <c r="E946" s="360"/>
      <c r="F946" s="360"/>
      <c r="G946" s="360"/>
      <c r="H946" s="360"/>
      <c r="I946" s="362"/>
      <c r="J946" s="362"/>
      <c r="K946" s="362"/>
      <c r="L946" s="360"/>
      <c r="M946" s="360"/>
    </row>
    <row r="947" spans="1:13" ht="18.75">
      <c r="A947" s="360"/>
      <c r="B947" s="360"/>
      <c r="C947" s="361"/>
      <c r="D947" s="360"/>
      <c r="E947" s="360"/>
      <c r="F947" s="360"/>
      <c r="G947" s="360"/>
      <c r="H947" s="360"/>
      <c r="I947" s="362"/>
      <c r="J947" s="362"/>
      <c r="K947" s="362"/>
      <c r="L947" s="360"/>
      <c r="M947" s="360"/>
    </row>
    <row r="948" spans="1:13" ht="18.75">
      <c r="A948" s="360"/>
      <c r="B948" s="360"/>
      <c r="C948" s="361"/>
      <c r="D948" s="360"/>
      <c r="E948" s="360"/>
      <c r="F948" s="360"/>
      <c r="G948" s="360"/>
      <c r="H948" s="360"/>
      <c r="I948" s="362"/>
      <c r="J948" s="362"/>
      <c r="K948" s="362"/>
      <c r="L948" s="360"/>
      <c r="M948" s="360"/>
    </row>
    <row r="949" spans="1:13" ht="18.75">
      <c r="A949" s="360"/>
      <c r="B949" s="360"/>
      <c r="C949" s="361"/>
      <c r="D949" s="360"/>
      <c r="E949" s="360"/>
      <c r="F949" s="360"/>
      <c r="G949" s="360"/>
      <c r="H949" s="360"/>
      <c r="I949" s="362"/>
      <c r="J949" s="362"/>
      <c r="K949" s="362"/>
      <c r="L949" s="360"/>
      <c r="M949" s="360"/>
    </row>
    <row r="950" spans="1:13" ht="18.75">
      <c r="A950" s="360"/>
      <c r="B950" s="360"/>
      <c r="C950" s="361"/>
      <c r="D950" s="360"/>
      <c r="E950" s="360"/>
      <c r="F950" s="360"/>
      <c r="G950" s="360"/>
      <c r="H950" s="360"/>
      <c r="I950" s="362"/>
      <c r="J950" s="362"/>
      <c r="K950" s="362"/>
      <c r="L950" s="360"/>
      <c r="M950" s="360"/>
    </row>
    <row r="951" spans="1:13" ht="18.75">
      <c r="A951" s="360"/>
      <c r="B951" s="360"/>
      <c r="C951" s="361"/>
      <c r="D951" s="360"/>
      <c r="E951" s="360"/>
      <c r="F951" s="360"/>
      <c r="G951" s="360"/>
      <c r="H951" s="360"/>
      <c r="I951" s="362"/>
      <c r="J951" s="362"/>
      <c r="K951" s="362"/>
      <c r="L951" s="360"/>
      <c r="M951" s="360"/>
    </row>
    <row r="952" spans="1:13" ht="18.75">
      <c r="A952" s="360"/>
      <c r="B952" s="360"/>
      <c r="C952" s="361"/>
      <c r="D952" s="360"/>
      <c r="E952" s="360"/>
      <c r="F952" s="360"/>
      <c r="G952" s="360"/>
      <c r="H952" s="360"/>
      <c r="I952" s="362"/>
      <c r="J952" s="362"/>
      <c r="K952" s="362"/>
      <c r="L952" s="360"/>
      <c r="M952" s="360"/>
    </row>
    <row r="953" spans="1:13" ht="18.75">
      <c r="A953" s="360"/>
      <c r="B953" s="360"/>
      <c r="C953" s="361"/>
      <c r="D953" s="360"/>
      <c r="E953" s="360"/>
      <c r="F953" s="360"/>
      <c r="G953" s="360"/>
      <c r="H953" s="360"/>
      <c r="I953" s="362"/>
      <c r="J953" s="362"/>
      <c r="K953" s="362"/>
      <c r="L953" s="360"/>
      <c r="M953" s="360"/>
    </row>
    <row r="954" spans="1:13" ht="18.75">
      <c r="A954" s="360"/>
      <c r="B954" s="360"/>
      <c r="C954" s="361"/>
      <c r="D954" s="360"/>
      <c r="E954" s="360"/>
      <c r="F954" s="360"/>
      <c r="G954" s="360"/>
      <c r="H954" s="360"/>
      <c r="I954" s="362"/>
      <c r="J954" s="362"/>
      <c r="K954" s="362"/>
      <c r="L954" s="360"/>
      <c r="M954" s="360"/>
    </row>
    <row r="955" spans="1:13" ht="18.75">
      <c r="A955" s="360"/>
      <c r="B955" s="360"/>
      <c r="C955" s="361"/>
      <c r="D955" s="360"/>
      <c r="E955" s="360"/>
      <c r="F955" s="360"/>
      <c r="G955" s="360"/>
      <c r="H955" s="360"/>
      <c r="I955" s="362"/>
      <c r="J955" s="362"/>
      <c r="K955" s="362"/>
      <c r="L955" s="360"/>
      <c r="M955" s="360"/>
    </row>
    <row r="956" spans="1:13" ht="18.75">
      <c r="A956" s="360"/>
      <c r="B956" s="360"/>
      <c r="C956" s="361"/>
      <c r="D956" s="360"/>
      <c r="E956" s="360"/>
      <c r="F956" s="360"/>
      <c r="G956" s="360"/>
      <c r="H956" s="360"/>
      <c r="I956" s="362"/>
      <c r="J956" s="362"/>
      <c r="K956" s="362"/>
      <c r="L956" s="360"/>
      <c r="M956" s="360"/>
    </row>
    <row r="957" spans="1:13" ht="18.75">
      <c r="A957" s="360"/>
      <c r="B957" s="360"/>
      <c r="C957" s="361"/>
      <c r="D957" s="360"/>
      <c r="E957" s="360"/>
      <c r="F957" s="360"/>
      <c r="G957" s="360"/>
      <c r="H957" s="360"/>
      <c r="I957" s="362"/>
      <c r="J957" s="362"/>
      <c r="K957" s="362"/>
      <c r="L957" s="360"/>
      <c r="M957" s="360"/>
    </row>
    <row r="958" spans="1:13" ht="18.75">
      <c r="A958" s="360"/>
      <c r="B958" s="360"/>
      <c r="C958" s="361"/>
      <c r="D958" s="360"/>
      <c r="E958" s="360"/>
      <c r="F958" s="360"/>
      <c r="G958" s="360"/>
      <c r="H958" s="360"/>
      <c r="I958" s="362"/>
      <c r="J958" s="362"/>
      <c r="K958" s="362"/>
      <c r="L958" s="360"/>
      <c r="M958" s="360"/>
    </row>
    <row r="959" spans="1:13" ht="18.75">
      <c r="A959" s="360"/>
      <c r="B959" s="360"/>
      <c r="C959" s="361"/>
      <c r="D959" s="360"/>
      <c r="E959" s="360"/>
      <c r="F959" s="360"/>
      <c r="G959" s="360"/>
      <c r="H959" s="360"/>
      <c r="I959" s="362"/>
      <c r="J959" s="362"/>
      <c r="K959" s="362"/>
      <c r="L959" s="360"/>
      <c r="M959" s="360"/>
    </row>
    <row r="960" spans="1:13" ht="18.75">
      <c r="A960" s="360"/>
      <c r="B960" s="360"/>
      <c r="C960" s="361"/>
      <c r="D960" s="360"/>
      <c r="E960" s="360"/>
      <c r="F960" s="360"/>
      <c r="G960" s="360"/>
      <c r="H960" s="360"/>
      <c r="I960" s="362"/>
      <c r="J960" s="362"/>
      <c r="K960" s="362"/>
      <c r="L960" s="360"/>
      <c r="M960" s="360"/>
    </row>
    <row r="961" spans="1:13" ht="18.75">
      <c r="A961" s="360"/>
      <c r="B961" s="360"/>
      <c r="C961" s="361"/>
      <c r="D961" s="360"/>
      <c r="E961" s="360"/>
      <c r="F961" s="360"/>
      <c r="G961" s="360"/>
      <c r="H961" s="360"/>
      <c r="I961" s="362"/>
      <c r="J961" s="362"/>
      <c r="K961" s="362"/>
      <c r="L961" s="360"/>
      <c r="M961" s="360"/>
    </row>
    <row r="962" spans="1:13" ht="18.75">
      <c r="A962" s="360"/>
      <c r="B962" s="360"/>
      <c r="C962" s="361"/>
      <c r="D962" s="360"/>
      <c r="E962" s="360"/>
      <c r="F962" s="360"/>
      <c r="G962" s="360"/>
      <c r="H962" s="360"/>
      <c r="I962" s="362"/>
      <c r="J962" s="362"/>
      <c r="K962" s="362"/>
      <c r="L962" s="360"/>
      <c r="M962" s="360"/>
    </row>
    <row r="963" spans="1:13" ht="18.75">
      <c r="A963" s="360"/>
      <c r="B963" s="360"/>
      <c r="C963" s="361"/>
      <c r="D963" s="360"/>
      <c r="E963" s="360"/>
      <c r="F963" s="360"/>
      <c r="G963" s="360"/>
      <c r="H963" s="360"/>
      <c r="I963" s="362"/>
      <c r="J963" s="362"/>
      <c r="K963" s="362"/>
      <c r="L963" s="360"/>
      <c r="M963" s="360"/>
    </row>
    <row r="964" spans="1:13" ht="18.75">
      <c r="A964" s="360"/>
      <c r="B964" s="360"/>
      <c r="C964" s="361"/>
      <c r="D964" s="360"/>
      <c r="E964" s="360"/>
      <c r="F964" s="360"/>
      <c r="G964" s="360"/>
      <c r="H964" s="360"/>
      <c r="I964" s="362"/>
      <c r="J964" s="362"/>
      <c r="K964" s="362"/>
      <c r="L964" s="360"/>
      <c r="M964" s="360"/>
    </row>
    <row r="965" spans="1:13" ht="18.75">
      <c r="A965" s="360"/>
      <c r="B965" s="360"/>
      <c r="C965" s="361"/>
      <c r="D965" s="360"/>
      <c r="E965" s="360"/>
      <c r="F965" s="360"/>
      <c r="G965" s="360"/>
      <c r="H965" s="360"/>
      <c r="I965" s="362"/>
      <c r="J965" s="362"/>
      <c r="K965" s="362"/>
      <c r="L965" s="360"/>
      <c r="M965" s="360"/>
    </row>
    <row r="966" spans="1:13" ht="18.75">
      <c r="A966" s="360"/>
      <c r="B966" s="360"/>
      <c r="C966" s="361"/>
      <c r="D966" s="360"/>
      <c r="E966" s="360"/>
      <c r="F966" s="360"/>
      <c r="G966" s="360"/>
      <c r="H966" s="360"/>
      <c r="I966" s="362"/>
      <c r="J966" s="362"/>
      <c r="K966" s="362"/>
      <c r="L966" s="360"/>
      <c r="M966" s="360"/>
    </row>
    <row r="967" spans="1:13" ht="18.75">
      <c r="A967" s="360"/>
      <c r="B967" s="360"/>
      <c r="C967" s="361"/>
      <c r="D967" s="360"/>
      <c r="E967" s="360"/>
      <c r="F967" s="360"/>
      <c r="G967" s="360"/>
      <c r="H967" s="360"/>
      <c r="I967" s="362"/>
      <c r="J967" s="362"/>
      <c r="K967" s="362"/>
      <c r="L967" s="360"/>
      <c r="M967" s="360"/>
    </row>
    <row r="968" spans="1:13" ht="18.75">
      <c r="A968" s="360"/>
      <c r="B968" s="360"/>
      <c r="C968" s="361"/>
      <c r="D968" s="360"/>
      <c r="E968" s="360"/>
      <c r="F968" s="360"/>
      <c r="G968" s="360"/>
      <c r="H968" s="360"/>
      <c r="I968" s="362"/>
      <c r="J968" s="362"/>
      <c r="K968" s="362"/>
      <c r="L968" s="360"/>
      <c r="M968" s="360"/>
    </row>
    <row r="969" spans="1:13" ht="18.75">
      <c r="A969" s="360"/>
      <c r="B969" s="360"/>
      <c r="C969" s="361"/>
      <c r="D969" s="360"/>
      <c r="E969" s="360"/>
      <c r="F969" s="360"/>
      <c r="G969" s="360"/>
      <c r="H969" s="360"/>
      <c r="I969" s="362"/>
      <c r="J969" s="362"/>
      <c r="K969" s="362"/>
      <c r="L969" s="360"/>
      <c r="M969" s="360"/>
    </row>
    <row r="970" spans="1:13" ht="18.75">
      <c r="A970" s="360"/>
      <c r="B970" s="360"/>
      <c r="C970" s="361"/>
      <c r="D970" s="360"/>
      <c r="E970" s="360"/>
      <c r="F970" s="360"/>
      <c r="G970" s="360"/>
      <c r="H970" s="360"/>
      <c r="I970" s="362"/>
      <c r="J970" s="362"/>
      <c r="K970" s="362"/>
      <c r="L970" s="360"/>
      <c r="M970" s="360"/>
    </row>
    <row r="971" spans="1:13" ht="18.75">
      <c r="A971" s="360"/>
      <c r="B971" s="360"/>
      <c r="C971" s="361"/>
      <c r="D971" s="360"/>
      <c r="E971" s="360"/>
      <c r="F971" s="360"/>
      <c r="G971" s="360"/>
      <c r="H971" s="360"/>
      <c r="I971" s="362"/>
      <c r="J971" s="362"/>
      <c r="K971" s="362"/>
      <c r="L971" s="360"/>
      <c r="M971" s="360"/>
    </row>
    <row r="972" spans="1:13" ht="18.75">
      <c r="A972" s="360"/>
      <c r="B972" s="360"/>
      <c r="C972" s="361"/>
      <c r="D972" s="360"/>
      <c r="E972" s="360"/>
      <c r="F972" s="360"/>
      <c r="G972" s="360"/>
      <c r="H972" s="360"/>
      <c r="I972" s="362"/>
      <c r="J972" s="362"/>
      <c r="K972" s="362"/>
      <c r="L972" s="360"/>
      <c r="M972" s="360"/>
    </row>
    <row r="973" spans="1:13" ht="18.75">
      <c r="A973" s="360"/>
      <c r="B973" s="360"/>
      <c r="C973" s="361"/>
      <c r="D973" s="360"/>
      <c r="E973" s="360"/>
      <c r="F973" s="360"/>
      <c r="G973" s="360"/>
      <c r="H973" s="360"/>
      <c r="I973" s="362"/>
      <c r="J973" s="362"/>
      <c r="K973" s="362"/>
      <c r="L973" s="360"/>
      <c r="M973" s="360"/>
    </row>
    <row r="974" spans="1:13" ht="18.75">
      <c r="A974" s="360"/>
      <c r="B974" s="360"/>
      <c r="C974" s="361"/>
      <c r="D974" s="360"/>
      <c r="E974" s="360"/>
      <c r="F974" s="360"/>
      <c r="G974" s="360"/>
      <c r="H974" s="360"/>
      <c r="I974" s="362"/>
      <c r="J974" s="362"/>
      <c r="K974" s="362"/>
      <c r="L974" s="360"/>
      <c r="M974" s="360"/>
    </row>
    <row r="975" spans="1:13" ht="18.75">
      <c r="A975" s="360"/>
      <c r="B975" s="360"/>
      <c r="C975" s="361"/>
      <c r="D975" s="360"/>
      <c r="E975" s="360"/>
      <c r="F975" s="360"/>
      <c r="G975" s="360"/>
      <c r="H975" s="360"/>
      <c r="I975" s="362"/>
      <c r="J975" s="362"/>
      <c r="K975" s="362"/>
      <c r="L975" s="360"/>
      <c r="M975" s="360"/>
    </row>
    <row r="976" spans="1:13" ht="18.75">
      <c r="A976" s="360"/>
      <c r="B976" s="360"/>
      <c r="C976" s="361"/>
      <c r="D976" s="360"/>
      <c r="E976" s="360"/>
      <c r="F976" s="360"/>
      <c r="G976" s="360"/>
      <c r="H976" s="360"/>
      <c r="I976" s="362"/>
      <c r="J976" s="362"/>
      <c r="K976" s="362"/>
      <c r="L976" s="360"/>
      <c r="M976" s="360"/>
    </row>
    <row r="977" spans="1:13" ht="18.75">
      <c r="A977" s="360"/>
      <c r="B977" s="360"/>
      <c r="C977" s="361"/>
      <c r="D977" s="360"/>
      <c r="E977" s="360"/>
      <c r="F977" s="360"/>
      <c r="G977" s="360"/>
      <c r="H977" s="360"/>
      <c r="I977" s="362"/>
      <c r="J977" s="362"/>
      <c r="K977" s="362"/>
      <c r="L977" s="360"/>
      <c r="M977" s="360"/>
    </row>
    <row r="978" spans="1:13" ht="18.75">
      <c r="A978" s="360"/>
      <c r="B978" s="360"/>
      <c r="C978" s="361"/>
      <c r="D978" s="360"/>
      <c r="E978" s="360"/>
      <c r="F978" s="360"/>
      <c r="G978" s="360"/>
      <c r="H978" s="360"/>
      <c r="I978" s="362"/>
      <c r="J978" s="362"/>
      <c r="K978" s="362"/>
      <c r="L978" s="360"/>
      <c r="M978" s="360"/>
    </row>
    <row r="979" spans="1:13" ht="18.75">
      <c r="A979" s="360"/>
      <c r="B979" s="360"/>
      <c r="C979" s="361"/>
      <c r="D979" s="360"/>
      <c r="E979" s="360"/>
      <c r="F979" s="360"/>
      <c r="G979" s="360"/>
      <c r="H979" s="360"/>
      <c r="I979" s="362"/>
      <c r="J979" s="362"/>
      <c r="K979" s="362"/>
      <c r="L979" s="360"/>
      <c r="M979" s="360"/>
    </row>
    <row r="980" spans="1:13" ht="18.75">
      <c r="A980" s="360"/>
      <c r="B980" s="360"/>
      <c r="C980" s="361"/>
      <c r="D980" s="360"/>
      <c r="E980" s="360"/>
      <c r="F980" s="360"/>
      <c r="G980" s="360"/>
      <c r="H980" s="360"/>
      <c r="I980" s="362"/>
      <c r="J980" s="362"/>
      <c r="K980" s="362"/>
      <c r="L980" s="360"/>
      <c r="M980" s="360"/>
    </row>
    <row r="981" spans="1:13" ht="18.75">
      <c r="A981" s="360"/>
      <c r="B981" s="360"/>
      <c r="C981" s="361"/>
      <c r="D981" s="360"/>
      <c r="E981" s="360"/>
      <c r="F981" s="360"/>
      <c r="G981" s="360"/>
      <c r="H981" s="360"/>
      <c r="I981" s="362"/>
      <c r="J981" s="362"/>
      <c r="K981" s="362"/>
      <c r="L981" s="360"/>
      <c r="M981" s="360"/>
    </row>
    <row r="982" spans="1:13" ht="18.75">
      <c r="A982" s="360"/>
      <c r="B982" s="360"/>
      <c r="C982" s="361"/>
      <c r="D982" s="360"/>
      <c r="E982" s="360"/>
      <c r="F982" s="360"/>
      <c r="G982" s="360"/>
      <c r="H982" s="360"/>
      <c r="I982" s="362"/>
      <c r="J982" s="362"/>
      <c r="K982" s="362"/>
      <c r="L982" s="360"/>
      <c r="M982" s="360"/>
    </row>
    <row r="983" spans="1:13" ht="18.75">
      <c r="A983" s="360"/>
      <c r="B983" s="360"/>
      <c r="C983" s="361"/>
      <c r="D983" s="360"/>
      <c r="E983" s="360"/>
      <c r="F983" s="360"/>
      <c r="G983" s="360"/>
      <c r="H983" s="360"/>
      <c r="I983" s="362"/>
      <c r="J983" s="362"/>
      <c r="K983" s="362"/>
      <c r="L983" s="360"/>
      <c r="M983" s="360"/>
    </row>
    <row r="984" spans="1:13" ht="18.75">
      <c r="A984" s="360"/>
      <c r="B984" s="360"/>
      <c r="C984" s="361"/>
      <c r="D984" s="360"/>
      <c r="E984" s="360"/>
      <c r="F984" s="360"/>
      <c r="G984" s="360"/>
      <c r="H984" s="360"/>
      <c r="I984" s="362"/>
      <c r="J984" s="362"/>
      <c r="K984" s="362"/>
      <c r="L984" s="360"/>
      <c r="M984" s="360"/>
    </row>
    <row r="985" spans="1:13" ht="18.75">
      <c r="A985" s="360"/>
      <c r="B985" s="360"/>
      <c r="C985" s="361"/>
      <c r="D985" s="360"/>
      <c r="E985" s="360"/>
      <c r="F985" s="360"/>
      <c r="G985" s="360"/>
      <c r="H985" s="360"/>
      <c r="I985" s="362"/>
      <c r="J985" s="362"/>
      <c r="K985" s="362"/>
      <c r="L985" s="360"/>
      <c r="M985" s="360"/>
    </row>
    <row r="986" spans="1:13" ht="18.75">
      <c r="A986" s="360"/>
      <c r="B986" s="360"/>
      <c r="C986" s="361"/>
      <c r="D986" s="360"/>
      <c r="E986" s="360"/>
      <c r="F986" s="360"/>
      <c r="G986" s="360"/>
      <c r="H986" s="360"/>
      <c r="I986" s="362"/>
      <c r="J986" s="362"/>
      <c r="K986" s="362"/>
      <c r="L986" s="360"/>
      <c r="M986" s="360"/>
    </row>
    <row r="987" spans="1:13" ht="18.75">
      <c r="A987" s="360"/>
      <c r="B987" s="360"/>
      <c r="C987" s="361"/>
      <c r="D987" s="360"/>
      <c r="E987" s="360"/>
      <c r="F987" s="360"/>
      <c r="G987" s="360"/>
      <c r="H987" s="360"/>
      <c r="I987" s="362"/>
      <c r="J987" s="362"/>
      <c r="K987" s="362"/>
      <c r="L987" s="360"/>
      <c r="M987" s="360"/>
    </row>
    <row r="988" spans="1:13" ht="18.75">
      <c r="A988" s="360"/>
      <c r="B988" s="360"/>
      <c r="C988" s="361"/>
      <c r="D988" s="360"/>
      <c r="E988" s="360"/>
      <c r="F988" s="360"/>
      <c r="G988" s="360"/>
      <c r="H988" s="360"/>
      <c r="I988" s="362"/>
      <c r="J988" s="362"/>
      <c r="K988" s="362"/>
      <c r="L988" s="360"/>
      <c r="M988" s="360"/>
    </row>
    <row r="989" spans="1:13" ht="18.75">
      <c r="A989" s="360"/>
      <c r="B989" s="360"/>
      <c r="C989" s="361"/>
      <c r="D989" s="360"/>
      <c r="E989" s="360"/>
      <c r="F989" s="360"/>
      <c r="G989" s="360"/>
      <c r="H989" s="360"/>
      <c r="I989" s="362"/>
      <c r="J989" s="362"/>
      <c r="K989" s="362"/>
      <c r="L989" s="360"/>
      <c r="M989" s="360"/>
    </row>
    <row r="990" spans="1:13" ht="18.75">
      <c r="A990" s="360"/>
      <c r="B990" s="360"/>
      <c r="C990" s="361"/>
      <c r="D990" s="360"/>
      <c r="E990" s="360"/>
      <c r="F990" s="360"/>
      <c r="G990" s="360"/>
      <c r="H990" s="360"/>
      <c r="I990" s="362"/>
      <c r="J990" s="362"/>
      <c r="K990" s="362"/>
      <c r="L990" s="360"/>
      <c r="M990" s="360"/>
    </row>
    <row r="991" spans="1:13" ht="18.75">
      <c r="A991" s="360"/>
      <c r="B991" s="360"/>
      <c r="C991" s="361"/>
      <c r="D991" s="360"/>
      <c r="E991" s="360"/>
      <c r="F991" s="360"/>
      <c r="G991" s="360"/>
      <c r="H991" s="360"/>
      <c r="I991" s="362"/>
      <c r="J991" s="362"/>
      <c r="K991" s="362"/>
      <c r="L991" s="360"/>
      <c r="M991" s="360"/>
    </row>
    <row r="992" spans="1:13" ht="18.75">
      <c r="A992" s="360"/>
      <c r="B992" s="360"/>
      <c r="C992" s="361"/>
      <c r="D992" s="360"/>
      <c r="E992" s="360"/>
      <c r="F992" s="360"/>
      <c r="G992" s="360"/>
      <c r="H992" s="360"/>
      <c r="I992" s="362"/>
      <c r="J992" s="362"/>
      <c r="K992" s="362"/>
      <c r="L992" s="360"/>
      <c r="M992" s="360"/>
    </row>
    <row r="993" spans="1:13" ht="18.75">
      <c r="A993" s="360"/>
      <c r="B993" s="360"/>
      <c r="C993" s="361"/>
      <c r="D993" s="360"/>
      <c r="E993" s="360"/>
      <c r="F993" s="360"/>
      <c r="G993" s="360"/>
      <c r="H993" s="360"/>
      <c r="I993" s="362"/>
      <c r="J993" s="362"/>
      <c r="K993" s="362"/>
      <c r="L993" s="360"/>
      <c r="M993" s="360"/>
    </row>
    <row r="994" spans="1:13" ht="18.75">
      <c r="A994" s="360"/>
      <c r="B994" s="360"/>
      <c r="C994" s="361"/>
      <c r="D994" s="360"/>
      <c r="E994" s="360"/>
      <c r="F994" s="360"/>
      <c r="G994" s="360"/>
      <c r="H994" s="360"/>
      <c r="I994" s="362"/>
      <c r="J994" s="362"/>
      <c r="K994" s="362"/>
      <c r="L994" s="360"/>
      <c r="M994" s="360"/>
    </row>
    <row r="995" spans="1:13" ht="18.75">
      <c r="A995" s="360"/>
      <c r="B995" s="360"/>
      <c r="C995" s="361"/>
      <c r="D995" s="360"/>
      <c r="E995" s="360"/>
      <c r="F995" s="360"/>
      <c r="G995" s="360"/>
      <c r="H995" s="360"/>
      <c r="I995" s="362"/>
      <c r="J995" s="362"/>
      <c r="K995" s="362"/>
      <c r="L995" s="360"/>
      <c r="M995" s="360"/>
    </row>
    <row r="996" spans="1:13" ht="18.75">
      <c r="A996" s="360"/>
      <c r="B996" s="360"/>
      <c r="C996" s="361"/>
      <c r="D996" s="360"/>
      <c r="E996" s="360"/>
      <c r="F996" s="360"/>
      <c r="G996" s="360"/>
      <c r="H996" s="360"/>
      <c r="I996" s="362"/>
      <c r="J996" s="362"/>
      <c r="K996" s="362"/>
      <c r="L996" s="360"/>
      <c r="M996" s="360"/>
    </row>
    <row r="997" spans="1:13" ht="18.75">
      <c r="A997" s="360"/>
      <c r="B997" s="360"/>
      <c r="C997" s="361"/>
      <c r="D997" s="360"/>
      <c r="E997" s="360"/>
      <c r="F997" s="360"/>
      <c r="G997" s="360"/>
      <c r="H997" s="360"/>
      <c r="I997" s="362"/>
      <c r="J997" s="362"/>
      <c r="K997" s="362"/>
      <c r="L997" s="360"/>
      <c r="M997" s="360"/>
    </row>
    <row r="998" spans="1:13" ht="18.75">
      <c r="A998" s="360"/>
      <c r="B998" s="360"/>
      <c r="C998" s="361"/>
      <c r="D998" s="360"/>
      <c r="E998" s="360"/>
      <c r="F998" s="360"/>
      <c r="G998" s="360"/>
      <c r="H998" s="360"/>
      <c r="I998" s="362"/>
      <c r="J998" s="362"/>
      <c r="K998" s="362"/>
      <c r="L998" s="360"/>
      <c r="M998" s="360"/>
    </row>
    <row r="999" spans="1:13" ht="18.75">
      <c r="A999" s="360"/>
      <c r="B999" s="360"/>
      <c r="C999" s="361"/>
      <c r="D999" s="360"/>
      <c r="E999" s="360"/>
      <c r="F999" s="360"/>
      <c r="G999" s="360"/>
      <c r="H999" s="360"/>
      <c r="I999" s="362"/>
      <c r="J999" s="362"/>
      <c r="K999" s="362"/>
      <c r="L999" s="360"/>
      <c r="M999" s="360"/>
    </row>
    <row r="1000" spans="1:13" ht="18.75">
      <c r="A1000" s="360"/>
      <c r="B1000" s="360"/>
      <c r="C1000" s="361"/>
      <c r="D1000" s="360"/>
      <c r="E1000" s="360"/>
      <c r="F1000" s="360"/>
      <c r="G1000" s="360"/>
      <c r="H1000" s="360"/>
      <c r="I1000" s="362"/>
      <c r="J1000" s="362"/>
      <c r="K1000" s="362"/>
      <c r="L1000" s="360"/>
      <c r="M1000" s="360"/>
    </row>
  </sheetData>
  <phoneticPr fontId="149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ABF8F"/>
  </sheetPr>
  <dimension ref="A1:AE1000"/>
  <sheetViews>
    <sheetView showGridLines="0" workbookViewId="0"/>
  </sheetViews>
  <sheetFormatPr defaultColWidth="10.09765625" defaultRowHeight="15" customHeight="1"/>
  <cols>
    <col min="1" max="1" width="2.5" customWidth="1"/>
    <col min="2" max="7" width="7.8984375" customWidth="1"/>
    <col min="8" max="8" width="8.3984375" customWidth="1"/>
    <col min="9" max="10" width="7" customWidth="1"/>
    <col min="11" max="12" width="7.8984375" customWidth="1"/>
    <col min="13" max="13" width="10.296875" customWidth="1"/>
    <col min="14" max="16" width="7.8984375" customWidth="1"/>
    <col min="17" max="17" width="6.5" customWidth="1"/>
    <col min="18" max="19" width="7.8984375" customWidth="1"/>
    <col min="20" max="20" width="8.19921875" customWidth="1"/>
    <col min="21" max="21" width="13.5" customWidth="1"/>
    <col min="22" max="31" width="7.19921875" customWidth="1"/>
  </cols>
  <sheetData>
    <row r="1" spans="1:31" ht="21.75" customHeight="1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ht="21.75" customHeight="1">
      <c r="A2" s="19"/>
      <c r="B2" s="19"/>
      <c r="C2" s="19"/>
      <c r="D2" s="19"/>
      <c r="F2" s="18" t="s">
        <v>7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</row>
    <row r="3" spans="1:31" ht="21.75" customHeight="1">
      <c r="A3" s="19"/>
      <c r="B3" s="19"/>
      <c r="C3" s="19"/>
      <c r="D3" s="19"/>
      <c r="F3" s="18" t="s">
        <v>8</v>
      </c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</row>
    <row r="4" spans="1:31" ht="21.75" customHeight="1">
      <c r="A4" s="19"/>
      <c r="B4" s="19"/>
      <c r="C4" s="19"/>
      <c r="D4" s="19"/>
      <c r="F4" s="225" t="s">
        <v>9</v>
      </c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</row>
    <row r="5" spans="1:31" ht="24.75" customHeight="1">
      <c r="A5" s="226"/>
      <c r="B5" s="576" t="s">
        <v>130</v>
      </c>
      <c r="C5" s="481"/>
      <c r="D5" s="481"/>
      <c r="E5" s="481"/>
      <c r="F5" s="481"/>
      <c r="G5" s="227"/>
      <c r="H5" s="227"/>
      <c r="I5" s="227"/>
      <c r="J5" s="227"/>
      <c r="K5" s="227"/>
      <c r="L5" s="227"/>
      <c r="M5" s="227"/>
      <c r="N5" s="227"/>
      <c r="O5" s="227"/>
      <c r="P5" s="227"/>
      <c r="Q5" s="227"/>
      <c r="R5" s="227"/>
      <c r="S5" s="227"/>
      <c r="T5" s="227"/>
      <c r="U5" s="227"/>
      <c r="V5" s="227"/>
      <c r="W5" s="227"/>
      <c r="X5" s="227"/>
      <c r="Y5" s="227"/>
      <c r="Z5" s="227"/>
      <c r="AA5" s="227"/>
      <c r="AB5" s="227"/>
      <c r="AC5" s="227"/>
      <c r="AD5" s="227"/>
      <c r="AE5" s="227"/>
    </row>
    <row r="6" spans="1:31" ht="19.5" customHeight="1">
      <c r="A6" s="232"/>
      <c r="B6" s="577" t="s">
        <v>566</v>
      </c>
      <c r="C6" s="579" t="s">
        <v>23</v>
      </c>
      <c r="D6" s="571"/>
      <c r="E6" s="579" t="s">
        <v>571</v>
      </c>
      <c r="F6" s="580"/>
      <c r="G6" s="580"/>
      <c r="H6" s="571"/>
      <c r="I6" s="579" t="s">
        <v>572</v>
      </c>
      <c r="J6" s="580"/>
      <c r="K6" s="580"/>
      <c r="L6" s="571"/>
      <c r="M6" s="579" t="s">
        <v>575</v>
      </c>
      <c r="N6" s="580"/>
      <c r="O6" s="580"/>
      <c r="P6" s="580"/>
      <c r="Q6" s="580"/>
      <c r="R6" s="580"/>
      <c r="S6" s="580"/>
      <c r="T6" s="574"/>
      <c r="U6" s="227"/>
      <c r="V6" s="227"/>
      <c r="W6" s="227"/>
      <c r="X6" s="227"/>
      <c r="Y6" s="227"/>
      <c r="Z6" s="227"/>
      <c r="AA6" s="227"/>
      <c r="AB6" s="227"/>
      <c r="AC6" s="227"/>
      <c r="AD6" s="227"/>
      <c r="AE6" s="227"/>
    </row>
    <row r="7" spans="1:31" ht="19.5" customHeight="1">
      <c r="A7" s="232"/>
      <c r="B7" s="578"/>
      <c r="C7" s="239" t="s">
        <v>11</v>
      </c>
      <c r="D7" s="239" t="s">
        <v>14</v>
      </c>
      <c r="E7" s="568" t="s">
        <v>577</v>
      </c>
      <c r="F7" s="569"/>
      <c r="G7" s="568" t="s">
        <v>14</v>
      </c>
      <c r="H7" s="569"/>
      <c r="I7" s="568" t="s">
        <v>11</v>
      </c>
      <c r="J7" s="569"/>
      <c r="K7" s="568" t="s">
        <v>581</v>
      </c>
      <c r="L7" s="569"/>
      <c r="M7" s="568" t="s">
        <v>582</v>
      </c>
      <c r="N7" s="569"/>
      <c r="O7" s="568" t="s">
        <v>583</v>
      </c>
      <c r="P7" s="569"/>
      <c r="Q7" s="568" t="s">
        <v>585</v>
      </c>
      <c r="R7" s="569"/>
      <c r="S7" s="568" t="s">
        <v>587</v>
      </c>
      <c r="T7" s="581"/>
      <c r="U7" s="227"/>
      <c r="V7" s="227"/>
      <c r="W7" s="227"/>
      <c r="X7" s="227"/>
      <c r="Y7" s="227"/>
      <c r="Z7" s="227"/>
      <c r="AA7" s="227"/>
      <c r="AB7" s="227"/>
      <c r="AC7" s="227"/>
      <c r="AD7" s="227"/>
      <c r="AE7" s="227"/>
    </row>
    <row r="8" spans="1:31" ht="18.75" customHeight="1">
      <c r="A8" s="242"/>
      <c r="B8" s="243" t="s">
        <v>590</v>
      </c>
      <c r="C8" s="245" t="s">
        <v>591</v>
      </c>
      <c r="D8" s="245" t="s">
        <v>592</v>
      </c>
      <c r="E8" s="570" t="s">
        <v>593</v>
      </c>
      <c r="F8" s="571"/>
      <c r="G8" s="570" t="s">
        <v>594</v>
      </c>
      <c r="H8" s="571"/>
      <c r="I8" s="570" t="s">
        <v>595</v>
      </c>
      <c r="J8" s="571"/>
      <c r="K8" s="570" t="s">
        <v>596</v>
      </c>
      <c r="L8" s="571"/>
      <c r="M8" s="570" t="s">
        <v>597</v>
      </c>
      <c r="N8" s="571"/>
      <c r="O8" s="570" t="s">
        <v>597</v>
      </c>
      <c r="P8" s="571"/>
      <c r="Q8" s="570" t="s">
        <v>598</v>
      </c>
      <c r="R8" s="571"/>
      <c r="S8" s="570" t="s">
        <v>598</v>
      </c>
      <c r="T8" s="574"/>
      <c r="U8" s="248"/>
      <c r="V8" s="248"/>
      <c r="W8" s="248"/>
      <c r="X8" s="248"/>
      <c r="Y8" s="248"/>
      <c r="Z8" s="248"/>
      <c r="AA8" s="248"/>
      <c r="AB8" s="248"/>
      <c r="AC8" s="248"/>
      <c r="AD8" s="248"/>
      <c r="AE8" s="248"/>
    </row>
    <row r="9" spans="1:31" ht="18.75" hidden="1" customHeight="1">
      <c r="A9" s="242"/>
      <c r="B9" s="250" t="s">
        <v>601</v>
      </c>
      <c r="C9" s="251" t="s">
        <v>592</v>
      </c>
      <c r="D9" s="251" t="s">
        <v>603</v>
      </c>
      <c r="E9" s="572" t="s">
        <v>604</v>
      </c>
      <c r="F9" s="573"/>
      <c r="G9" s="572" t="s">
        <v>605</v>
      </c>
      <c r="H9" s="573"/>
      <c r="I9" s="572" t="s">
        <v>596</v>
      </c>
      <c r="J9" s="573"/>
      <c r="K9" s="572" t="s">
        <v>596</v>
      </c>
      <c r="L9" s="573"/>
      <c r="M9" s="572" t="s">
        <v>598</v>
      </c>
      <c r="N9" s="573"/>
      <c r="O9" s="572" t="s">
        <v>598</v>
      </c>
      <c r="P9" s="573"/>
      <c r="Q9" s="572" t="s">
        <v>598</v>
      </c>
      <c r="R9" s="573"/>
      <c r="S9" s="572" t="s">
        <v>598</v>
      </c>
      <c r="T9" s="575"/>
      <c r="U9" s="255" t="s">
        <v>607</v>
      </c>
      <c r="V9" s="256"/>
      <c r="W9" s="256"/>
      <c r="X9" s="256"/>
      <c r="Y9" s="256"/>
      <c r="Z9" s="256"/>
      <c r="AA9" s="256"/>
      <c r="AB9" s="256"/>
      <c r="AC9" s="256"/>
      <c r="AD9" s="256"/>
      <c r="AE9" s="256"/>
    </row>
    <row r="10" spans="1:31" ht="18.75" customHeight="1">
      <c r="A10" s="242"/>
      <c r="B10" s="257" t="s">
        <v>204</v>
      </c>
      <c r="C10" s="258" t="s">
        <v>244</v>
      </c>
      <c r="D10" s="258" t="s">
        <v>67</v>
      </c>
      <c r="E10" s="582" t="s">
        <v>608</v>
      </c>
      <c r="F10" s="493"/>
      <c r="G10" s="582" t="s">
        <v>609</v>
      </c>
      <c r="H10" s="493"/>
      <c r="I10" s="582" t="s">
        <v>596</v>
      </c>
      <c r="J10" s="493"/>
      <c r="K10" s="582" t="s">
        <v>610</v>
      </c>
      <c r="L10" s="493"/>
      <c r="M10" s="582" t="s">
        <v>598</v>
      </c>
      <c r="N10" s="493"/>
      <c r="O10" s="582" t="s">
        <v>598</v>
      </c>
      <c r="P10" s="493"/>
      <c r="Q10" s="582" t="s">
        <v>612</v>
      </c>
      <c r="R10" s="493"/>
      <c r="S10" s="582" t="s">
        <v>612</v>
      </c>
      <c r="T10" s="583"/>
      <c r="U10" s="248"/>
      <c r="V10" s="248"/>
      <c r="W10" s="248"/>
      <c r="X10" s="248"/>
      <c r="Y10" s="248"/>
      <c r="Z10" s="248"/>
      <c r="AA10" s="248"/>
      <c r="AB10" s="248"/>
      <c r="AC10" s="248"/>
      <c r="AD10" s="248"/>
      <c r="AE10" s="248"/>
    </row>
    <row r="11" spans="1:31" ht="18.75" customHeight="1">
      <c r="A11" s="242"/>
      <c r="B11" s="260" t="s">
        <v>65</v>
      </c>
      <c r="C11" s="262" t="s">
        <v>616</v>
      </c>
      <c r="D11" s="262" t="s">
        <v>42</v>
      </c>
      <c r="E11" s="594" t="s">
        <v>617</v>
      </c>
      <c r="F11" s="477"/>
      <c r="G11" s="594" t="s">
        <v>618</v>
      </c>
      <c r="H11" s="477"/>
      <c r="I11" s="594" t="s">
        <v>596</v>
      </c>
      <c r="J11" s="477"/>
      <c r="K11" s="594" t="s">
        <v>610</v>
      </c>
      <c r="L11" s="477"/>
      <c r="M11" s="594" t="s">
        <v>598</v>
      </c>
      <c r="N11" s="477"/>
      <c r="O11" s="594" t="s">
        <v>598</v>
      </c>
      <c r="P11" s="477"/>
      <c r="Q11" s="594" t="s">
        <v>612</v>
      </c>
      <c r="R11" s="477"/>
      <c r="S11" s="594" t="s">
        <v>612</v>
      </c>
      <c r="T11" s="588"/>
      <c r="U11" s="266" t="s">
        <v>619</v>
      </c>
      <c r="V11" s="248"/>
      <c r="W11" s="248"/>
      <c r="X11" s="248"/>
      <c r="Y11" s="248"/>
      <c r="Z11" s="248"/>
      <c r="AA11" s="248"/>
      <c r="AB11" s="248"/>
      <c r="AC11" s="248"/>
      <c r="AD11" s="248"/>
      <c r="AE11" s="248"/>
    </row>
    <row r="12" spans="1:31" ht="18.75" customHeight="1">
      <c r="A12" s="242"/>
      <c r="B12" s="257" t="s">
        <v>62</v>
      </c>
      <c r="C12" s="258" t="s">
        <v>620</v>
      </c>
      <c r="D12" s="258" t="s">
        <v>621</v>
      </c>
      <c r="E12" s="582" t="s">
        <v>622</v>
      </c>
      <c r="F12" s="493"/>
      <c r="G12" s="582" t="s">
        <v>623</v>
      </c>
      <c r="H12" s="493"/>
      <c r="I12" s="582" t="s">
        <v>610</v>
      </c>
      <c r="J12" s="493"/>
      <c r="K12" s="582" t="s">
        <v>624</v>
      </c>
      <c r="L12" s="493"/>
      <c r="M12" s="582" t="s">
        <v>612</v>
      </c>
      <c r="N12" s="493"/>
      <c r="O12" s="582" t="s">
        <v>612</v>
      </c>
      <c r="P12" s="493"/>
      <c r="Q12" s="582" t="s">
        <v>627</v>
      </c>
      <c r="R12" s="493"/>
      <c r="S12" s="582" t="s">
        <v>627</v>
      </c>
      <c r="T12" s="583"/>
      <c r="U12" s="256"/>
      <c r="V12" s="256"/>
      <c r="W12" s="256"/>
      <c r="X12" s="256"/>
      <c r="Y12" s="256"/>
      <c r="Z12" s="256"/>
      <c r="AA12" s="256"/>
      <c r="AB12" s="256"/>
      <c r="AC12" s="256"/>
      <c r="AD12" s="256"/>
      <c r="AE12" s="256"/>
    </row>
    <row r="13" spans="1:31" ht="19.5" hidden="1" customHeight="1">
      <c r="A13" s="268"/>
      <c r="B13" s="269" t="s">
        <v>632</v>
      </c>
      <c r="C13" s="270" t="s">
        <v>46</v>
      </c>
      <c r="D13" s="270" t="s">
        <v>620</v>
      </c>
      <c r="E13" s="595" t="s">
        <v>633</v>
      </c>
      <c r="F13" s="477"/>
      <c r="G13" s="595" t="s">
        <v>634</v>
      </c>
      <c r="H13" s="477"/>
      <c r="I13" s="595" t="s">
        <v>46</v>
      </c>
      <c r="J13" s="477"/>
      <c r="K13" s="595" t="s">
        <v>595</v>
      </c>
      <c r="L13" s="477"/>
      <c r="M13" s="595" t="s">
        <v>46</v>
      </c>
      <c r="N13" s="477"/>
      <c r="O13" s="595" t="s">
        <v>46</v>
      </c>
      <c r="P13" s="477"/>
      <c r="Q13" s="595" t="s">
        <v>612</v>
      </c>
      <c r="R13" s="477"/>
      <c r="S13" s="595" t="s">
        <v>627</v>
      </c>
      <c r="T13" s="588"/>
      <c r="U13" s="20"/>
      <c r="V13" s="19"/>
      <c r="W13" s="19"/>
      <c r="X13" s="19"/>
      <c r="Y13" s="19"/>
      <c r="Z13" s="19"/>
      <c r="AA13" s="19"/>
      <c r="AB13" s="19"/>
      <c r="AC13" s="19"/>
      <c r="AD13" s="19"/>
      <c r="AE13" s="19"/>
    </row>
    <row r="14" spans="1:31" ht="19.5" hidden="1" customHeight="1">
      <c r="A14" s="268"/>
      <c r="B14" s="269" t="s">
        <v>641</v>
      </c>
      <c r="C14" s="271" t="s">
        <v>46</v>
      </c>
      <c r="D14" s="271" t="s">
        <v>67</v>
      </c>
      <c r="E14" s="584" t="s">
        <v>642</v>
      </c>
      <c r="F14" s="493"/>
      <c r="G14" s="584" t="s">
        <v>643</v>
      </c>
      <c r="H14" s="493"/>
      <c r="I14" s="584" t="s">
        <v>46</v>
      </c>
      <c r="J14" s="493"/>
      <c r="K14" s="584" t="s">
        <v>610</v>
      </c>
      <c r="L14" s="493"/>
      <c r="M14" s="584" t="s">
        <v>46</v>
      </c>
      <c r="N14" s="493"/>
      <c r="O14" s="584" t="s">
        <v>46</v>
      </c>
      <c r="P14" s="493"/>
      <c r="Q14" s="584" t="s">
        <v>612</v>
      </c>
      <c r="R14" s="493"/>
      <c r="S14" s="584" t="s">
        <v>612</v>
      </c>
      <c r="T14" s="583"/>
      <c r="U14" s="272" t="s">
        <v>644</v>
      </c>
      <c r="V14" s="19"/>
      <c r="W14" s="19"/>
      <c r="X14" s="19"/>
      <c r="Y14" s="19"/>
      <c r="Z14" s="19"/>
      <c r="AA14" s="19"/>
      <c r="AB14" s="19"/>
      <c r="AC14" s="19"/>
      <c r="AD14" s="19"/>
      <c r="AE14" s="19"/>
    </row>
    <row r="15" spans="1:31" ht="19.5" hidden="1" customHeight="1">
      <c r="A15" s="268"/>
      <c r="B15" s="269" t="s">
        <v>645</v>
      </c>
      <c r="C15" s="271" t="s">
        <v>46</v>
      </c>
      <c r="D15" s="271" t="s">
        <v>67</v>
      </c>
      <c r="E15" s="584" t="s">
        <v>642</v>
      </c>
      <c r="F15" s="493"/>
      <c r="G15" s="584" t="s">
        <v>643</v>
      </c>
      <c r="H15" s="493"/>
      <c r="I15" s="584" t="s">
        <v>46</v>
      </c>
      <c r="J15" s="493"/>
      <c r="K15" s="584" t="s">
        <v>610</v>
      </c>
      <c r="L15" s="493"/>
      <c r="M15" s="584" t="s">
        <v>46</v>
      </c>
      <c r="N15" s="493"/>
      <c r="O15" s="584" t="s">
        <v>46</v>
      </c>
      <c r="P15" s="493"/>
      <c r="Q15" s="584" t="s">
        <v>612</v>
      </c>
      <c r="R15" s="493"/>
      <c r="S15" s="584" t="s">
        <v>612</v>
      </c>
      <c r="T15" s="583"/>
      <c r="U15" s="272"/>
      <c r="V15" s="19"/>
      <c r="W15" s="19"/>
      <c r="X15" s="19"/>
      <c r="Y15" s="19"/>
      <c r="Z15" s="19"/>
      <c r="AA15" s="19"/>
      <c r="AB15" s="19"/>
      <c r="AC15" s="19"/>
      <c r="AD15" s="19"/>
      <c r="AE15" s="19"/>
    </row>
    <row r="16" spans="1:31" ht="19.5" customHeight="1">
      <c r="A16" s="268"/>
      <c r="B16" s="269" t="s">
        <v>647</v>
      </c>
      <c r="C16" s="271" t="s">
        <v>46</v>
      </c>
      <c r="D16" s="271" t="s">
        <v>244</v>
      </c>
      <c r="E16" s="584" t="s">
        <v>648</v>
      </c>
      <c r="F16" s="493"/>
      <c r="G16" s="584" t="s">
        <v>649</v>
      </c>
      <c r="H16" s="493"/>
      <c r="I16" s="584" t="s">
        <v>46</v>
      </c>
      <c r="J16" s="493"/>
      <c r="K16" s="584" t="s">
        <v>596</v>
      </c>
      <c r="L16" s="493"/>
      <c r="M16" s="584" t="s">
        <v>46</v>
      </c>
      <c r="N16" s="493"/>
      <c r="O16" s="584" t="s">
        <v>46</v>
      </c>
      <c r="P16" s="493"/>
      <c r="Q16" s="584" t="s">
        <v>598</v>
      </c>
      <c r="R16" s="493"/>
      <c r="S16" s="584" t="s">
        <v>598</v>
      </c>
      <c r="T16" s="493"/>
      <c r="U16" s="272"/>
      <c r="V16" s="19"/>
      <c r="W16" s="19"/>
      <c r="X16" s="19"/>
      <c r="Y16" s="19"/>
      <c r="Z16" s="19"/>
      <c r="AA16" s="19"/>
      <c r="AB16" s="19"/>
      <c r="AC16" s="19"/>
      <c r="AD16" s="19"/>
      <c r="AE16" s="19"/>
    </row>
    <row r="17" spans="1:31" ht="19.5" customHeight="1">
      <c r="A17" s="274"/>
      <c r="B17" s="269" t="s">
        <v>654</v>
      </c>
      <c r="C17" s="271" t="s">
        <v>46</v>
      </c>
      <c r="D17" s="271" t="s">
        <v>603</v>
      </c>
      <c r="E17" s="584" t="s">
        <v>648</v>
      </c>
      <c r="F17" s="493"/>
      <c r="G17" s="584" t="s">
        <v>649</v>
      </c>
      <c r="H17" s="493"/>
      <c r="I17" s="584" t="s">
        <v>46</v>
      </c>
      <c r="J17" s="493"/>
      <c r="K17" s="584" t="s">
        <v>596</v>
      </c>
      <c r="L17" s="493"/>
      <c r="M17" s="584" t="s">
        <v>46</v>
      </c>
      <c r="N17" s="493"/>
      <c r="O17" s="584" t="s">
        <v>46</v>
      </c>
      <c r="P17" s="493"/>
      <c r="Q17" s="584" t="s">
        <v>598</v>
      </c>
      <c r="R17" s="493"/>
      <c r="S17" s="584" t="s">
        <v>598</v>
      </c>
      <c r="T17" s="583"/>
      <c r="U17" s="272" t="s">
        <v>655</v>
      </c>
      <c r="V17" s="19"/>
      <c r="W17" s="19"/>
      <c r="X17" s="19"/>
      <c r="Y17" s="19"/>
      <c r="Z17" s="19"/>
      <c r="AA17" s="19"/>
      <c r="AB17" s="19"/>
      <c r="AC17" s="19"/>
      <c r="AD17" s="19"/>
      <c r="AE17" s="19"/>
    </row>
    <row r="18" spans="1:31" ht="19.5" hidden="1" customHeight="1">
      <c r="A18" s="275"/>
      <c r="B18" s="276" t="s">
        <v>656</v>
      </c>
      <c r="C18" s="277" t="s">
        <v>45</v>
      </c>
      <c r="D18" s="277" t="s">
        <v>32</v>
      </c>
      <c r="E18" s="585" t="s">
        <v>657</v>
      </c>
      <c r="F18" s="567"/>
      <c r="G18" s="585" t="s">
        <v>659</v>
      </c>
      <c r="H18" s="567"/>
      <c r="I18" s="585" t="s">
        <v>46</v>
      </c>
      <c r="J18" s="567"/>
      <c r="K18" s="585" t="s">
        <v>660</v>
      </c>
      <c r="L18" s="567"/>
      <c r="M18" s="585" t="s">
        <v>46</v>
      </c>
      <c r="N18" s="567"/>
      <c r="O18" s="585" t="s">
        <v>46</v>
      </c>
      <c r="P18" s="567"/>
      <c r="Q18" s="585" t="s">
        <v>661</v>
      </c>
      <c r="R18" s="567"/>
      <c r="S18" s="585" t="s">
        <v>661</v>
      </c>
      <c r="T18" s="587"/>
      <c r="U18" s="272" t="s">
        <v>655</v>
      </c>
      <c r="V18" s="19"/>
      <c r="W18" s="19"/>
      <c r="X18" s="19"/>
      <c r="Y18" s="19"/>
      <c r="Z18" s="19"/>
      <c r="AA18" s="19"/>
      <c r="AB18" s="19"/>
      <c r="AC18" s="19"/>
      <c r="AD18" s="19"/>
      <c r="AE18" s="19"/>
    </row>
    <row r="19" spans="1:31" ht="15.75" hidden="1" customHeight="1">
      <c r="A19" s="275"/>
      <c r="B19" s="269" t="s">
        <v>663</v>
      </c>
      <c r="C19" s="281" t="s">
        <v>592</v>
      </c>
      <c r="D19" s="281" t="s">
        <v>603</v>
      </c>
      <c r="E19" s="586" t="s">
        <v>604</v>
      </c>
      <c r="F19" s="477"/>
      <c r="G19" s="586" t="s">
        <v>665</v>
      </c>
      <c r="H19" s="477"/>
      <c r="I19" s="586" t="s">
        <v>596</v>
      </c>
      <c r="J19" s="477"/>
      <c r="K19" s="586" t="s">
        <v>596</v>
      </c>
      <c r="L19" s="477"/>
      <c r="M19" s="586" t="s">
        <v>598</v>
      </c>
      <c r="N19" s="477"/>
      <c r="O19" s="586" t="s">
        <v>598</v>
      </c>
      <c r="P19" s="477"/>
      <c r="Q19" s="586" t="s">
        <v>598</v>
      </c>
      <c r="R19" s="477"/>
      <c r="S19" s="586" t="s">
        <v>598</v>
      </c>
      <c r="T19" s="588"/>
      <c r="U19" s="272" t="s">
        <v>655</v>
      </c>
      <c r="V19" s="19"/>
      <c r="W19" s="19"/>
      <c r="X19" s="19"/>
      <c r="Y19" s="19"/>
      <c r="Z19" s="19"/>
      <c r="AA19" s="19"/>
      <c r="AB19" s="19"/>
      <c r="AC19" s="19"/>
      <c r="AD19" s="19"/>
      <c r="AE19" s="19"/>
    </row>
    <row r="20" spans="1:31" ht="15.75" hidden="1" customHeight="1">
      <c r="A20" s="275"/>
      <c r="B20" s="269" t="s">
        <v>669</v>
      </c>
      <c r="C20" s="281" t="s">
        <v>46</v>
      </c>
      <c r="D20" s="281" t="s">
        <v>670</v>
      </c>
      <c r="E20" s="586" t="s">
        <v>671</v>
      </c>
      <c r="F20" s="477"/>
      <c r="G20" s="586" t="s">
        <v>659</v>
      </c>
      <c r="H20" s="477"/>
      <c r="I20" s="586" t="s">
        <v>46</v>
      </c>
      <c r="J20" s="477"/>
      <c r="K20" s="586" t="s">
        <v>672</v>
      </c>
      <c r="L20" s="477"/>
      <c r="M20" s="586" t="s">
        <v>46</v>
      </c>
      <c r="N20" s="477"/>
      <c r="O20" s="586" t="s">
        <v>46</v>
      </c>
      <c r="P20" s="477"/>
      <c r="Q20" s="586" t="s">
        <v>661</v>
      </c>
      <c r="R20" s="477"/>
      <c r="S20" s="586" t="s">
        <v>661</v>
      </c>
      <c r="T20" s="588"/>
      <c r="U20" s="272" t="s">
        <v>644</v>
      </c>
      <c r="V20" s="19"/>
      <c r="W20" s="19"/>
      <c r="X20" s="19"/>
      <c r="Y20" s="19"/>
      <c r="Z20" s="19"/>
      <c r="AA20" s="19"/>
      <c r="AB20" s="19"/>
      <c r="AC20" s="19"/>
      <c r="AD20" s="19"/>
      <c r="AE20" s="19"/>
    </row>
    <row r="21" spans="1:31" ht="15.75" customHeight="1">
      <c r="A21" s="275"/>
      <c r="B21" s="269" t="s">
        <v>674</v>
      </c>
      <c r="C21" s="281" t="s">
        <v>46</v>
      </c>
      <c r="D21" s="281" t="s">
        <v>621</v>
      </c>
      <c r="E21" s="586" t="s">
        <v>675</v>
      </c>
      <c r="F21" s="477"/>
      <c r="G21" s="586" t="s">
        <v>680</v>
      </c>
      <c r="H21" s="477"/>
      <c r="I21" s="586" t="s">
        <v>46</v>
      </c>
      <c r="J21" s="477"/>
      <c r="K21" s="586" t="s">
        <v>624</v>
      </c>
      <c r="L21" s="477"/>
      <c r="M21" s="586" t="s">
        <v>46</v>
      </c>
      <c r="N21" s="477"/>
      <c r="O21" s="586" t="s">
        <v>46</v>
      </c>
      <c r="P21" s="477"/>
      <c r="Q21" s="586" t="s">
        <v>627</v>
      </c>
      <c r="R21" s="477"/>
      <c r="S21" s="586" t="s">
        <v>627</v>
      </c>
      <c r="T21" s="588"/>
      <c r="U21" s="272" t="s">
        <v>644</v>
      </c>
      <c r="V21" s="19"/>
      <c r="W21" s="19"/>
      <c r="X21" s="19"/>
      <c r="Y21" s="19"/>
      <c r="Z21" s="19"/>
      <c r="AA21" s="19"/>
      <c r="AB21" s="19"/>
      <c r="AC21" s="19"/>
      <c r="AD21" s="19"/>
      <c r="AE21" s="19"/>
    </row>
    <row r="22" spans="1:31" ht="15.75" hidden="1" customHeight="1">
      <c r="A22" s="275"/>
      <c r="B22" s="287" t="s">
        <v>682</v>
      </c>
      <c r="C22" s="290" t="s">
        <v>46</v>
      </c>
      <c r="D22" s="290" t="s">
        <v>621</v>
      </c>
      <c r="E22" s="589" t="s">
        <v>675</v>
      </c>
      <c r="F22" s="590"/>
      <c r="G22" s="589" t="s">
        <v>680</v>
      </c>
      <c r="H22" s="590"/>
      <c r="I22" s="589" t="s">
        <v>46</v>
      </c>
      <c r="J22" s="590"/>
      <c r="K22" s="589" t="s">
        <v>624</v>
      </c>
      <c r="L22" s="590"/>
      <c r="M22" s="589" t="s">
        <v>46</v>
      </c>
      <c r="N22" s="590"/>
      <c r="O22" s="589" t="s">
        <v>46</v>
      </c>
      <c r="P22" s="590"/>
      <c r="Q22" s="589" t="s">
        <v>627</v>
      </c>
      <c r="R22" s="590"/>
      <c r="S22" s="589" t="s">
        <v>627</v>
      </c>
      <c r="T22" s="506"/>
      <c r="U22" s="272" t="s">
        <v>644</v>
      </c>
      <c r="V22" s="19"/>
      <c r="W22" s="19"/>
      <c r="X22" s="19"/>
      <c r="Y22" s="19"/>
      <c r="Z22" s="19"/>
      <c r="AA22" s="19"/>
      <c r="AB22" s="19"/>
      <c r="AC22" s="19"/>
      <c r="AD22" s="19"/>
      <c r="AE22" s="19"/>
    </row>
    <row r="23" spans="1:31" ht="15.75" customHeight="1">
      <c r="A23" s="275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</row>
    <row r="24" spans="1:31" ht="12.75" customHeight="1">
      <c r="A24" s="275"/>
      <c r="B24" s="591" t="s">
        <v>688</v>
      </c>
      <c r="C24" s="481"/>
      <c r="D24" s="481"/>
      <c r="E24" s="481"/>
      <c r="F24" s="481"/>
      <c r="G24" s="291"/>
      <c r="H24" s="291"/>
      <c r="I24" s="291"/>
      <c r="J24" s="291"/>
      <c r="K24" s="292"/>
      <c r="L24" s="292"/>
      <c r="M24" s="292"/>
      <c r="N24" s="292"/>
      <c r="O24" s="292"/>
      <c r="P24" s="19"/>
      <c r="Q24" s="20"/>
      <c r="R24" s="20"/>
      <c r="S24" s="19"/>
      <c r="T24" s="20"/>
      <c r="U24" s="19"/>
      <c r="V24" s="19"/>
      <c r="W24" s="19"/>
      <c r="X24" s="19"/>
      <c r="Y24" s="19"/>
      <c r="Z24" s="19"/>
    </row>
    <row r="25" spans="1:31" ht="12.75" customHeight="1">
      <c r="A25" s="275"/>
      <c r="B25" s="293"/>
      <c r="C25" s="294" t="s">
        <v>59</v>
      </c>
      <c r="D25" s="294" t="s">
        <v>61</v>
      </c>
      <c r="E25" s="294" t="s">
        <v>60</v>
      </c>
      <c r="F25" s="294" t="s">
        <v>93</v>
      </c>
      <c r="G25" s="294" t="s">
        <v>81</v>
      </c>
      <c r="H25" s="294" t="s">
        <v>96</v>
      </c>
      <c r="I25" s="294" t="s">
        <v>94</v>
      </c>
      <c r="J25" s="294" t="s">
        <v>95</v>
      </c>
      <c r="K25" s="296" t="s">
        <v>28</v>
      </c>
      <c r="L25" s="296" t="s">
        <v>27</v>
      </c>
      <c r="M25" s="296" t="s">
        <v>26</v>
      </c>
      <c r="N25" s="296" t="s">
        <v>24</v>
      </c>
      <c r="O25" s="296" t="s">
        <v>25</v>
      </c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</row>
    <row r="26" spans="1:31" ht="12.75" customHeight="1">
      <c r="A26" s="20"/>
      <c r="B26" s="297" t="s">
        <v>590</v>
      </c>
      <c r="C26" s="298" t="s">
        <v>695</v>
      </c>
      <c r="D26" s="298" t="s">
        <v>695</v>
      </c>
      <c r="E26" s="298" t="s">
        <v>696</v>
      </c>
      <c r="F26" s="298" t="s">
        <v>46</v>
      </c>
      <c r="G26" s="298" t="s">
        <v>46</v>
      </c>
      <c r="H26" s="298" t="s">
        <v>46</v>
      </c>
      <c r="I26" s="298" t="s">
        <v>46</v>
      </c>
      <c r="J26" s="299" t="s">
        <v>46</v>
      </c>
      <c r="K26" s="300" t="s">
        <v>697</v>
      </c>
      <c r="L26" s="301" t="s">
        <v>697</v>
      </c>
      <c r="M26" s="301" t="s">
        <v>46</v>
      </c>
      <c r="N26" s="301" t="s">
        <v>698</v>
      </c>
      <c r="O26" s="302" t="s">
        <v>699</v>
      </c>
      <c r="P26" s="303" t="s">
        <v>700</v>
      </c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</row>
    <row r="27" spans="1:31" ht="12.75" customHeight="1">
      <c r="A27" s="20"/>
      <c r="B27" s="304" t="s">
        <v>701</v>
      </c>
      <c r="C27" s="305" t="s">
        <v>695</v>
      </c>
      <c r="D27" s="305" t="s">
        <v>46</v>
      </c>
      <c r="E27" s="305" t="s">
        <v>46</v>
      </c>
      <c r="F27" s="305" t="s">
        <v>696</v>
      </c>
      <c r="G27" s="305" t="s">
        <v>702</v>
      </c>
      <c r="H27" s="305" t="s">
        <v>703</v>
      </c>
      <c r="I27" s="305" t="s">
        <v>697</v>
      </c>
      <c r="J27" s="306" t="s">
        <v>46</v>
      </c>
      <c r="K27" s="307"/>
      <c r="L27" s="308"/>
      <c r="M27" s="308"/>
      <c r="N27" s="308"/>
      <c r="O27" s="309"/>
      <c r="P27" s="303"/>
      <c r="Q27" s="20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</row>
    <row r="28" spans="1:31" ht="12.75" customHeight="1">
      <c r="A28" s="20"/>
      <c r="B28" s="297" t="s">
        <v>204</v>
      </c>
      <c r="C28" s="298" t="s">
        <v>46</v>
      </c>
      <c r="D28" s="298" t="s">
        <v>695</v>
      </c>
      <c r="E28" s="298" t="s">
        <v>696</v>
      </c>
      <c r="F28" s="298" t="s">
        <v>46</v>
      </c>
      <c r="G28" s="298" t="s">
        <v>46</v>
      </c>
      <c r="H28" s="298" t="s">
        <v>46</v>
      </c>
      <c r="I28" s="298" t="s">
        <v>46</v>
      </c>
      <c r="J28" s="299" t="s">
        <v>46</v>
      </c>
      <c r="K28" s="307" t="s">
        <v>697</v>
      </c>
      <c r="L28" s="308" t="s">
        <v>706</v>
      </c>
      <c r="M28" s="308" t="s">
        <v>707</v>
      </c>
      <c r="N28" s="308" t="s">
        <v>708</v>
      </c>
      <c r="O28" s="309" t="s">
        <v>708</v>
      </c>
      <c r="P28" s="303" t="s">
        <v>700</v>
      </c>
      <c r="Q28" s="19"/>
      <c r="R28" s="19"/>
      <c r="S28" s="19"/>
      <c r="U28" s="19"/>
      <c r="V28" s="19"/>
      <c r="W28" s="19"/>
      <c r="X28" s="19"/>
      <c r="Y28" s="19"/>
      <c r="Z28" s="19"/>
      <c r="AA28" s="19"/>
      <c r="AB28" s="19"/>
      <c r="AC28" s="19"/>
    </row>
    <row r="29" spans="1:31" ht="12.75" hidden="1" customHeight="1">
      <c r="A29" s="310"/>
      <c r="B29" s="311" t="s">
        <v>645</v>
      </c>
      <c r="C29" s="312">
        <v>6</v>
      </c>
      <c r="D29" s="312">
        <v>5</v>
      </c>
      <c r="E29" s="312">
        <v>6</v>
      </c>
      <c r="F29" s="312" t="s">
        <v>46</v>
      </c>
      <c r="G29" s="312" t="s">
        <v>46</v>
      </c>
      <c r="H29" s="312" t="s">
        <v>46</v>
      </c>
      <c r="I29" s="312" t="s">
        <v>46</v>
      </c>
      <c r="J29" s="313" t="s">
        <v>46</v>
      </c>
      <c r="K29" s="314">
        <v>10</v>
      </c>
      <c r="L29" s="315">
        <v>10</v>
      </c>
      <c r="M29" s="315" t="s">
        <v>46</v>
      </c>
      <c r="N29" s="315">
        <v>7</v>
      </c>
      <c r="O29" s="316">
        <v>8</v>
      </c>
      <c r="P29" s="303" t="s">
        <v>700</v>
      </c>
      <c r="Q29" s="20"/>
      <c r="R29" s="317" t="s">
        <v>714</v>
      </c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</row>
    <row r="30" spans="1:31" ht="12.75" customHeight="1">
      <c r="A30" s="310"/>
      <c r="B30" s="318" t="s">
        <v>65</v>
      </c>
      <c r="C30" s="319" t="s">
        <v>695</v>
      </c>
      <c r="D30" s="319" t="s">
        <v>46</v>
      </c>
      <c r="E30" s="319" t="s">
        <v>46</v>
      </c>
      <c r="F30" s="319" t="s">
        <v>696</v>
      </c>
      <c r="G30" s="319" t="s">
        <v>702</v>
      </c>
      <c r="H30" s="319" t="s">
        <v>715</v>
      </c>
      <c r="I30" s="319" t="s">
        <v>697</v>
      </c>
      <c r="J30" s="319" t="s">
        <v>46</v>
      </c>
      <c r="K30" s="319" t="s">
        <v>46</v>
      </c>
      <c r="L30" s="319" t="s">
        <v>46</v>
      </c>
      <c r="M30" s="319" t="s">
        <v>46</v>
      </c>
      <c r="N30" s="319" t="s">
        <v>46</v>
      </c>
      <c r="O30" s="319" t="s">
        <v>46</v>
      </c>
      <c r="P30" s="303"/>
      <c r="Q30" s="20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</row>
    <row r="31" spans="1:31" ht="15.75" customHeight="1">
      <c r="A31" s="320"/>
      <c r="B31" s="297" t="s">
        <v>62</v>
      </c>
      <c r="C31" s="298" t="s">
        <v>695</v>
      </c>
      <c r="D31" s="298" t="s">
        <v>46</v>
      </c>
      <c r="E31" s="298" t="s">
        <v>46</v>
      </c>
      <c r="F31" s="298" t="s">
        <v>46</v>
      </c>
      <c r="G31" s="298" t="s">
        <v>46</v>
      </c>
      <c r="H31" s="298" t="s">
        <v>46</v>
      </c>
      <c r="I31" s="298" t="s">
        <v>716</v>
      </c>
      <c r="J31" s="298" t="s">
        <v>698</v>
      </c>
      <c r="K31" s="298" t="s">
        <v>46</v>
      </c>
      <c r="L31" s="298" t="s">
        <v>46</v>
      </c>
      <c r="M31" s="298" t="s">
        <v>46</v>
      </c>
      <c r="N31" s="298" t="s">
        <v>46</v>
      </c>
      <c r="O31" s="298" t="s">
        <v>46</v>
      </c>
      <c r="P31" s="303"/>
      <c r="Q31" s="20"/>
      <c r="R31" s="19"/>
      <c r="S31" s="19"/>
      <c r="T31" s="19"/>
      <c r="U31" s="19"/>
      <c r="V31" s="19"/>
      <c r="W31" s="19"/>
      <c r="X31" s="23"/>
      <c r="Y31" s="23"/>
      <c r="Z31" s="23"/>
      <c r="AA31" s="23"/>
      <c r="AB31" s="23"/>
    </row>
    <row r="32" spans="1:31" ht="15.75" hidden="1" customHeight="1">
      <c r="A32" s="320"/>
      <c r="B32" s="311" t="s">
        <v>632</v>
      </c>
      <c r="C32" s="321">
        <v>4</v>
      </c>
      <c r="D32" s="321" t="s">
        <v>46</v>
      </c>
      <c r="E32" s="321" t="s">
        <v>46</v>
      </c>
      <c r="F32" s="321" t="s">
        <v>46</v>
      </c>
      <c r="G32" s="321" t="s">
        <v>46</v>
      </c>
      <c r="H32" s="321">
        <v>7</v>
      </c>
      <c r="I32" s="321">
        <v>9</v>
      </c>
      <c r="J32" s="321" t="s">
        <v>46</v>
      </c>
      <c r="K32" s="321"/>
      <c r="L32" s="321"/>
      <c r="M32" s="321"/>
      <c r="N32" s="321"/>
      <c r="O32" s="321"/>
      <c r="P32" s="303"/>
      <c r="Q32" s="20"/>
      <c r="R32" s="19"/>
      <c r="S32" s="19"/>
      <c r="T32" s="19"/>
      <c r="U32" s="19"/>
      <c r="V32" s="19"/>
      <c r="W32" s="23"/>
      <c r="X32" s="23"/>
      <c r="Y32" s="23"/>
      <c r="Z32" s="23"/>
      <c r="AA32" s="23"/>
      <c r="AB32" s="23"/>
    </row>
    <row r="33" spans="1:31" ht="15.75" hidden="1" customHeight="1">
      <c r="A33" s="322"/>
      <c r="B33" s="311" t="s">
        <v>641</v>
      </c>
      <c r="C33" s="312">
        <v>6</v>
      </c>
      <c r="D33" s="312">
        <v>5</v>
      </c>
      <c r="E33" s="312">
        <v>4</v>
      </c>
      <c r="F33" s="312" t="s">
        <v>46</v>
      </c>
      <c r="G33" s="312" t="s">
        <v>46</v>
      </c>
      <c r="H33" s="312">
        <v>11</v>
      </c>
      <c r="I33" s="312">
        <v>9</v>
      </c>
      <c r="J33" s="312" t="s">
        <v>46</v>
      </c>
      <c r="K33" s="312"/>
      <c r="L33" s="312"/>
      <c r="M33" s="312"/>
      <c r="N33" s="312"/>
      <c r="O33" s="312"/>
      <c r="P33" s="317" t="s">
        <v>714</v>
      </c>
      <c r="Q33" s="20"/>
      <c r="R33" s="19"/>
      <c r="S33" s="19"/>
      <c r="T33" s="19"/>
      <c r="U33" s="19"/>
      <c r="V33" s="19"/>
      <c r="W33" s="23"/>
      <c r="X33" s="23"/>
      <c r="Y33" s="23"/>
      <c r="Z33" s="23"/>
      <c r="AA33" s="23"/>
    </row>
    <row r="34" spans="1:31" ht="15.75" customHeight="1">
      <c r="A34" s="322"/>
      <c r="B34" s="311" t="s">
        <v>654</v>
      </c>
      <c r="C34" s="312">
        <v>5</v>
      </c>
      <c r="D34" s="312">
        <v>6</v>
      </c>
      <c r="E34" s="312">
        <v>6</v>
      </c>
      <c r="F34" s="312" t="s">
        <v>46</v>
      </c>
      <c r="G34" s="312" t="s">
        <v>46</v>
      </c>
      <c r="H34" s="312" t="s">
        <v>46</v>
      </c>
      <c r="I34" s="312" t="s">
        <v>46</v>
      </c>
      <c r="J34" s="312" t="s">
        <v>46</v>
      </c>
      <c r="K34" s="312"/>
      <c r="L34" s="312"/>
      <c r="M34" s="312"/>
      <c r="N34" s="312"/>
      <c r="O34" s="312"/>
      <c r="P34" s="317" t="s">
        <v>714</v>
      </c>
      <c r="Q34" s="19"/>
      <c r="R34" s="19"/>
      <c r="S34" s="19"/>
      <c r="T34" s="19"/>
      <c r="U34" s="19"/>
      <c r="V34" s="23"/>
      <c r="W34" s="23"/>
      <c r="X34" s="23"/>
      <c r="Y34" s="23"/>
      <c r="Z34" s="23"/>
      <c r="AA34" s="23"/>
      <c r="AB34" s="23"/>
      <c r="AC34" s="23"/>
    </row>
    <row r="35" spans="1:31" ht="15.75" hidden="1" customHeight="1">
      <c r="A35" s="322"/>
      <c r="B35" s="311" t="s">
        <v>656</v>
      </c>
      <c r="C35" s="323">
        <v>44320</v>
      </c>
      <c r="D35" s="312" t="s">
        <v>46</v>
      </c>
      <c r="E35" s="323">
        <v>44352</v>
      </c>
      <c r="F35" s="312" t="s">
        <v>46</v>
      </c>
      <c r="G35" s="312" t="s">
        <v>46</v>
      </c>
      <c r="H35" s="312" t="s">
        <v>46</v>
      </c>
      <c r="I35" s="312" t="s">
        <v>46</v>
      </c>
      <c r="J35" s="312" t="s">
        <v>46</v>
      </c>
      <c r="K35" s="312"/>
      <c r="L35" s="312"/>
      <c r="M35" s="312"/>
      <c r="N35" s="312"/>
      <c r="O35" s="312"/>
      <c r="P35" s="324" t="s">
        <v>721</v>
      </c>
      <c r="Q35" s="20"/>
      <c r="R35" s="20"/>
      <c r="S35" s="19"/>
      <c r="T35" s="19"/>
      <c r="U35" s="19"/>
      <c r="V35" s="19"/>
      <c r="W35" s="19"/>
      <c r="X35" s="23"/>
      <c r="Y35" s="23"/>
      <c r="Z35" s="23"/>
      <c r="AA35" s="23"/>
      <c r="AB35" s="23"/>
      <c r="AC35" s="23"/>
    </row>
    <row r="36" spans="1:31" ht="15.75" hidden="1" customHeight="1">
      <c r="A36" s="322"/>
      <c r="B36" s="311" t="s">
        <v>663</v>
      </c>
      <c r="C36" s="323">
        <v>44656</v>
      </c>
      <c r="D36" s="325" t="s">
        <v>695</v>
      </c>
      <c r="E36" s="325" t="s">
        <v>696</v>
      </c>
      <c r="F36" s="312" t="s">
        <v>46</v>
      </c>
      <c r="G36" s="312" t="s">
        <v>46</v>
      </c>
      <c r="H36" s="312" t="s">
        <v>46</v>
      </c>
      <c r="I36" s="312" t="s">
        <v>46</v>
      </c>
      <c r="J36" s="312" t="s">
        <v>46</v>
      </c>
      <c r="K36" s="312" t="s">
        <v>46</v>
      </c>
      <c r="L36" s="312" t="s">
        <v>46</v>
      </c>
      <c r="M36" s="312" t="s">
        <v>46</v>
      </c>
      <c r="N36" s="312" t="s">
        <v>46</v>
      </c>
      <c r="O36" s="312" t="s">
        <v>46</v>
      </c>
      <c r="P36" s="30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</row>
    <row r="37" spans="1:31" ht="15.75" hidden="1" customHeight="1">
      <c r="A37" s="322"/>
      <c r="B37" s="311" t="s">
        <v>669</v>
      </c>
      <c r="C37" s="323">
        <v>44685</v>
      </c>
      <c r="D37" s="326">
        <v>44717</v>
      </c>
      <c r="E37" s="326">
        <v>44685</v>
      </c>
      <c r="F37" s="312" t="s">
        <v>46</v>
      </c>
      <c r="G37" s="312" t="s">
        <v>46</v>
      </c>
      <c r="H37" s="312" t="s">
        <v>46</v>
      </c>
      <c r="I37" s="312" t="s">
        <v>46</v>
      </c>
      <c r="J37" s="312" t="s">
        <v>46</v>
      </c>
      <c r="K37" s="312" t="s">
        <v>46</v>
      </c>
      <c r="L37" s="312" t="s">
        <v>46</v>
      </c>
      <c r="M37" s="312" t="s">
        <v>46</v>
      </c>
      <c r="N37" s="312" t="s">
        <v>46</v>
      </c>
      <c r="O37" s="312" t="s">
        <v>46</v>
      </c>
      <c r="P37" s="317" t="s">
        <v>714</v>
      </c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</row>
    <row r="38" spans="1:31" ht="15.75" customHeight="1">
      <c r="A38" s="322"/>
      <c r="B38" s="269" t="s">
        <v>674</v>
      </c>
      <c r="C38" s="312">
        <v>6</v>
      </c>
      <c r="D38" s="312">
        <v>5</v>
      </c>
      <c r="E38" s="312">
        <v>4</v>
      </c>
      <c r="F38" s="312" t="s">
        <v>46</v>
      </c>
      <c r="G38" s="312" t="s">
        <v>46</v>
      </c>
      <c r="H38" s="312" t="s">
        <v>46</v>
      </c>
      <c r="I38" s="312" t="s">
        <v>46</v>
      </c>
      <c r="J38" s="312" t="s">
        <v>46</v>
      </c>
      <c r="K38" s="312" t="s">
        <v>46</v>
      </c>
      <c r="L38" s="312" t="s">
        <v>46</v>
      </c>
      <c r="M38" s="312" t="s">
        <v>46</v>
      </c>
      <c r="N38" s="312" t="s">
        <v>46</v>
      </c>
      <c r="O38" s="312" t="s">
        <v>46</v>
      </c>
      <c r="P38" s="317" t="s">
        <v>714</v>
      </c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</row>
    <row r="39" spans="1:31" ht="15.75" hidden="1" customHeight="1">
      <c r="A39" s="322"/>
      <c r="B39" s="311" t="s">
        <v>682</v>
      </c>
      <c r="C39" s="312">
        <v>4</v>
      </c>
      <c r="D39" s="312">
        <v>5</v>
      </c>
      <c r="E39" s="312">
        <v>5</v>
      </c>
      <c r="F39" s="312" t="s">
        <v>46</v>
      </c>
      <c r="G39" s="312" t="s">
        <v>46</v>
      </c>
      <c r="H39" s="312" t="s">
        <v>46</v>
      </c>
      <c r="I39" s="312" t="s">
        <v>46</v>
      </c>
      <c r="J39" s="312" t="s">
        <v>46</v>
      </c>
      <c r="K39" s="312" t="s">
        <v>46</v>
      </c>
      <c r="L39" s="312" t="s">
        <v>46</v>
      </c>
      <c r="M39" s="312" t="s">
        <v>46</v>
      </c>
      <c r="N39" s="312" t="s">
        <v>46</v>
      </c>
      <c r="O39" s="312" t="s">
        <v>46</v>
      </c>
      <c r="P39" s="317" t="s">
        <v>714</v>
      </c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</row>
    <row r="40" spans="1:31" ht="15.75" customHeight="1">
      <c r="A40" s="322"/>
      <c r="B40" s="269" t="s">
        <v>647</v>
      </c>
      <c r="C40" s="312">
        <v>5</v>
      </c>
      <c r="D40" s="312">
        <v>4</v>
      </c>
      <c r="E40" s="312">
        <v>3</v>
      </c>
      <c r="F40" s="312" t="s">
        <v>46</v>
      </c>
      <c r="G40" s="312" t="s">
        <v>46</v>
      </c>
      <c r="H40" s="312" t="s">
        <v>46</v>
      </c>
      <c r="I40" s="312" t="s">
        <v>46</v>
      </c>
      <c r="J40" s="312" t="s">
        <v>46</v>
      </c>
      <c r="K40" s="312" t="s">
        <v>46</v>
      </c>
      <c r="L40" s="312" t="s">
        <v>46</v>
      </c>
      <c r="M40" s="312" t="s">
        <v>46</v>
      </c>
      <c r="N40" s="312" t="s">
        <v>46</v>
      </c>
      <c r="O40" s="312" t="s">
        <v>46</v>
      </c>
      <c r="P40" s="317" t="s">
        <v>714</v>
      </c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</row>
    <row r="41" spans="1:31" ht="15.75" customHeight="1">
      <c r="A41" s="322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</row>
    <row r="42" spans="1:31" ht="12.75" customHeight="1">
      <c r="A42" s="19"/>
      <c r="B42" s="25" t="s">
        <v>12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3"/>
      <c r="N42" s="23"/>
      <c r="O42" s="23"/>
      <c r="P42" s="23"/>
      <c r="Q42" s="23"/>
      <c r="R42" s="23"/>
      <c r="S42" s="23"/>
      <c r="T42" s="23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</row>
    <row r="43" spans="1:31" ht="12.75" customHeight="1">
      <c r="A43" s="19"/>
      <c r="B43" s="557" t="s">
        <v>18</v>
      </c>
      <c r="C43" s="476"/>
      <c r="D43" s="476"/>
      <c r="E43" s="558" t="s">
        <v>731</v>
      </c>
      <c r="F43" s="476"/>
      <c r="G43" s="476"/>
      <c r="H43" s="476"/>
      <c r="I43" s="477"/>
      <c r="L43" s="54"/>
      <c r="M43" s="23"/>
      <c r="N43" s="23"/>
      <c r="O43" s="23"/>
      <c r="P43" s="23"/>
      <c r="Q43" s="23"/>
      <c r="R43" s="23"/>
      <c r="S43" s="23"/>
      <c r="T43" s="23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</row>
    <row r="44" spans="1:31" ht="15.75" customHeight="1">
      <c r="A44" s="19"/>
      <c r="B44" s="559" t="s">
        <v>733</v>
      </c>
      <c r="C44" s="476"/>
      <c r="D44" s="476"/>
      <c r="E44" s="558" t="s">
        <v>734</v>
      </c>
      <c r="F44" s="476"/>
      <c r="G44" s="476"/>
      <c r="H44" s="476"/>
      <c r="I44" s="477"/>
      <c r="L44" s="54"/>
      <c r="M44" s="23"/>
      <c r="N44" s="23"/>
      <c r="O44" s="23"/>
      <c r="P44" s="23"/>
      <c r="Q44" s="23"/>
      <c r="R44" s="23"/>
      <c r="S44" s="23"/>
      <c r="T44" s="23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</row>
    <row r="45" spans="1:31" ht="15.75" customHeight="1">
      <c r="A45" s="19"/>
      <c r="B45" s="559" t="s">
        <v>76</v>
      </c>
      <c r="C45" s="476"/>
      <c r="D45" s="476"/>
      <c r="E45" s="558" t="s">
        <v>77</v>
      </c>
      <c r="F45" s="476"/>
      <c r="G45" s="476"/>
      <c r="H45" s="476"/>
      <c r="I45" s="477"/>
      <c r="L45" s="54"/>
      <c r="M45" s="23"/>
      <c r="N45" s="23"/>
      <c r="O45" s="23"/>
      <c r="P45" s="23"/>
      <c r="Q45" s="23"/>
      <c r="R45" s="23"/>
      <c r="S45" s="23"/>
      <c r="T45" s="23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</row>
    <row r="46" spans="1:31" ht="12.75" customHeight="1">
      <c r="A46" s="19"/>
      <c r="B46" s="559" t="s">
        <v>80</v>
      </c>
      <c r="C46" s="476"/>
      <c r="D46" s="476"/>
      <c r="E46" s="558" t="s">
        <v>83</v>
      </c>
      <c r="F46" s="476"/>
      <c r="G46" s="476"/>
      <c r="H46" s="476"/>
      <c r="I46" s="477"/>
      <c r="L46" s="54"/>
      <c r="M46" s="23"/>
      <c r="N46" s="23"/>
      <c r="O46" s="23"/>
      <c r="P46" s="23"/>
      <c r="Q46" s="23"/>
      <c r="R46" s="23"/>
      <c r="S46" s="23"/>
      <c r="T46" s="23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</row>
    <row r="47" spans="1:31" ht="12.75" customHeight="1">
      <c r="A47" s="19"/>
      <c r="B47" s="592" t="s">
        <v>86</v>
      </c>
      <c r="C47" s="476"/>
      <c r="D47" s="477"/>
      <c r="E47" s="593" t="s">
        <v>99</v>
      </c>
      <c r="F47" s="476"/>
      <c r="G47" s="476"/>
      <c r="H47" s="476"/>
      <c r="I47" s="477"/>
      <c r="L47" s="54"/>
      <c r="M47" s="23"/>
      <c r="N47" s="23"/>
      <c r="O47" s="23"/>
      <c r="P47" s="23"/>
      <c r="Q47" s="23"/>
      <c r="R47" s="23"/>
      <c r="S47" s="23"/>
      <c r="T47" s="23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</row>
    <row r="48" spans="1:31" ht="15.75" customHeight="1">
      <c r="A48" s="19"/>
      <c r="B48" s="559" t="s">
        <v>100</v>
      </c>
      <c r="C48" s="476"/>
      <c r="D48" s="476"/>
      <c r="E48" s="562" t="s">
        <v>102</v>
      </c>
      <c r="F48" s="476"/>
      <c r="G48" s="476"/>
      <c r="H48" s="476"/>
      <c r="I48" s="477"/>
      <c r="L48" s="54"/>
      <c r="M48" s="23"/>
      <c r="N48" s="23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</row>
    <row r="49" spans="1:31" ht="15.75" customHeight="1">
      <c r="A49" s="19"/>
      <c r="B49" s="559" t="s">
        <v>118</v>
      </c>
      <c r="C49" s="476"/>
      <c r="D49" s="476"/>
      <c r="E49" s="558" t="s">
        <v>119</v>
      </c>
      <c r="F49" s="476"/>
      <c r="G49" s="476"/>
      <c r="H49" s="476"/>
      <c r="I49" s="477"/>
      <c r="L49" s="54"/>
      <c r="M49" s="23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</row>
    <row r="50" spans="1:31" ht="15.75" customHeight="1">
      <c r="A50" s="19"/>
      <c r="B50" s="559" t="s">
        <v>120</v>
      </c>
      <c r="C50" s="476"/>
      <c r="D50" s="476"/>
      <c r="E50" s="558" t="s">
        <v>121</v>
      </c>
      <c r="F50" s="476"/>
      <c r="G50" s="476"/>
      <c r="H50" s="476"/>
      <c r="I50" s="477"/>
      <c r="L50" s="54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</row>
    <row r="51" spans="1:31" ht="12.75" customHeight="1">
      <c r="A51" s="19"/>
      <c r="B51" s="559" t="s">
        <v>741</v>
      </c>
      <c r="C51" s="476"/>
      <c r="D51" s="476"/>
      <c r="E51" s="558" t="s">
        <v>742</v>
      </c>
      <c r="F51" s="476"/>
      <c r="G51" s="476"/>
      <c r="H51" s="476"/>
      <c r="I51" s="477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</row>
    <row r="52" spans="1:31" ht="12.75" customHeight="1">
      <c r="A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</row>
    <row r="53" spans="1:31" ht="12.75" customHeight="1">
      <c r="A53" s="19"/>
      <c r="B53" s="19"/>
      <c r="C53" s="19"/>
      <c r="D53" s="19"/>
      <c r="E53" s="19"/>
      <c r="F53" s="19"/>
      <c r="G53" s="19"/>
      <c r="H53" s="19"/>
      <c r="I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</row>
    <row r="54" spans="1:31" ht="12.75" customHeight="1">
      <c r="A54" s="19"/>
      <c r="B54" s="19"/>
      <c r="C54" s="19"/>
      <c r="D54" s="19"/>
      <c r="E54" s="19"/>
      <c r="F54" s="19"/>
      <c r="G54" s="19"/>
      <c r="H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</row>
    <row r="55" spans="1:31" ht="12.75" customHeight="1">
      <c r="A55" s="19"/>
      <c r="B55" s="19"/>
      <c r="C55" s="19"/>
      <c r="D55" s="19"/>
      <c r="E55" s="19"/>
      <c r="F55" s="19"/>
      <c r="G55" s="19"/>
      <c r="H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</row>
    <row r="56" spans="1:31" ht="12.75" customHeight="1">
      <c r="A56" s="19"/>
      <c r="B56" s="19"/>
      <c r="C56" s="19"/>
      <c r="D56" s="19"/>
      <c r="E56" s="19"/>
      <c r="F56" s="19"/>
      <c r="G56" s="19"/>
      <c r="H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</row>
    <row r="57" spans="1:31" ht="12.75" customHeight="1">
      <c r="A57" s="19"/>
      <c r="B57" s="19"/>
      <c r="C57" s="19"/>
      <c r="D57" s="19"/>
      <c r="E57" s="19"/>
      <c r="F57" s="19"/>
      <c r="G57" s="19"/>
      <c r="H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</row>
    <row r="58" spans="1:31" ht="12.75" customHeight="1">
      <c r="A58" s="19"/>
      <c r="B58" s="19"/>
      <c r="C58" s="19"/>
      <c r="D58" s="19"/>
      <c r="E58" s="19"/>
      <c r="F58" s="19"/>
      <c r="G58" s="19"/>
      <c r="H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</row>
    <row r="59" spans="1:31" ht="12.75" customHeight="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</row>
    <row r="60" spans="1:31" ht="12.75" customHeight="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</row>
    <row r="61" spans="1:31" ht="12.75" customHeight="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</row>
    <row r="62" spans="1:31" ht="12.75" customHeight="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1:31" ht="12.75" customHeight="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</row>
    <row r="64" spans="1:31" ht="12.75" customHeight="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</row>
    <row r="65" spans="1:31" ht="12.75" customHeight="1">
      <c r="A65" s="19"/>
      <c r="B65" s="19"/>
      <c r="C65" s="19"/>
      <c r="D65" s="19"/>
      <c r="E65" s="328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</row>
    <row r="66" spans="1:31" ht="12.75" customHeight="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1:31" ht="12.75" customHeight="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</row>
    <row r="68" spans="1:31" ht="12.75" customHeight="1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</row>
    <row r="69" spans="1:31" ht="12.75" customHeight="1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</row>
    <row r="70" spans="1:31" ht="12.75" customHeight="1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</row>
    <row r="71" spans="1:31" ht="12.75" customHeight="1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</row>
    <row r="72" spans="1:31" ht="12.75" customHeight="1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</row>
    <row r="73" spans="1:31" ht="12.75" customHeight="1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</row>
    <row r="74" spans="1:31" ht="12.75" customHeight="1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</row>
    <row r="75" spans="1:31" ht="12.75" customHeight="1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</row>
    <row r="76" spans="1:31" ht="12.75" customHeight="1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</row>
    <row r="77" spans="1:31" ht="12.75" customHeight="1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</row>
    <row r="78" spans="1:31" ht="12.75" customHeight="1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</row>
    <row r="79" spans="1:31" ht="12.75" customHeight="1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</row>
    <row r="80" spans="1:31" ht="12.75" customHeight="1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</row>
    <row r="81" spans="1:31" ht="12.75" customHeight="1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</row>
    <row r="82" spans="1:31" ht="12.75" customHeight="1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</row>
    <row r="83" spans="1:31" ht="12.75" customHeight="1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</row>
    <row r="84" spans="1:31" ht="12.75" customHeight="1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</row>
    <row r="85" spans="1:31" ht="12.75" customHeight="1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</row>
    <row r="86" spans="1:31" ht="12.75" customHeight="1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</row>
    <row r="87" spans="1:31" ht="12.75" customHeight="1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</row>
    <row r="88" spans="1:31" ht="12.75" customHeight="1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</row>
    <row r="89" spans="1:31" ht="12.75" customHeight="1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</row>
    <row r="90" spans="1:31" ht="12.75" customHeight="1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</row>
    <row r="91" spans="1:31" ht="12.75" customHeight="1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</row>
    <row r="92" spans="1:31" ht="12.75" customHeight="1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</row>
    <row r="93" spans="1:31" ht="12.75" customHeight="1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</row>
    <row r="94" spans="1:31" ht="12.75" customHeight="1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</row>
    <row r="95" spans="1:31" ht="12.75" customHeight="1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</row>
    <row r="96" spans="1:31" ht="12.75" customHeight="1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</row>
    <row r="97" spans="1:31" ht="12.75" customHeight="1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</row>
    <row r="98" spans="1:31" ht="12.75" customHeight="1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</row>
    <row r="99" spans="1:31" ht="12.75" customHeight="1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</row>
    <row r="100" spans="1:31" ht="12.75" customHeight="1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</row>
    <row r="101" spans="1:31" ht="12.75" customHeight="1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</row>
    <row r="102" spans="1:31" ht="12.75" customHeight="1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</row>
    <row r="103" spans="1:31" ht="12.75" customHeight="1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</row>
    <row r="104" spans="1:31" ht="12.75" customHeight="1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</row>
    <row r="105" spans="1:31" ht="12.75" customHeight="1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</row>
    <row r="106" spans="1:31" ht="12.75" customHeight="1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</row>
    <row r="107" spans="1:31" ht="12.75" customHeight="1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</row>
    <row r="108" spans="1:31" ht="12.75" customHeight="1">
      <c r="A108" s="19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</row>
    <row r="109" spans="1:31" ht="12.75" customHeight="1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</row>
    <row r="110" spans="1:31" ht="12.75" customHeight="1">
      <c r="A110" s="19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</row>
    <row r="111" spans="1:31" ht="12.75" customHeight="1">
      <c r="A111" s="19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</row>
    <row r="112" spans="1:31" ht="12.75" customHeight="1">
      <c r="A112" s="19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</row>
    <row r="113" spans="1:31" ht="12.75" customHeight="1">
      <c r="A113" s="19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</row>
    <row r="114" spans="1:31" ht="12.75" customHeight="1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</row>
    <row r="115" spans="1:31" ht="12.75" customHeight="1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</row>
    <row r="116" spans="1:31" ht="12.75" customHeight="1">
      <c r="A116" s="19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</row>
    <row r="117" spans="1:31" ht="12.75" customHeight="1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</row>
    <row r="118" spans="1:31" ht="12.75" customHeight="1">
      <c r="A118" s="19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</row>
    <row r="119" spans="1:31" ht="12.75" customHeight="1">
      <c r="A119" s="19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</row>
    <row r="120" spans="1:31" ht="12.75" customHeight="1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</row>
    <row r="121" spans="1:31" ht="12.75" customHeight="1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</row>
    <row r="122" spans="1:31" ht="12.75" customHeight="1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</row>
    <row r="123" spans="1:31" ht="12.75" customHeight="1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</row>
    <row r="124" spans="1:31" ht="12.75" customHeight="1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</row>
    <row r="125" spans="1:31" ht="12.75" customHeight="1">
      <c r="A125" s="19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</row>
    <row r="126" spans="1:31" ht="12.75" customHeight="1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</row>
    <row r="127" spans="1:31" ht="12.75" customHeight="1">
      <c r="A127" s="19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</row>
    <row r="128" spans="1:31" ht="12.75" customHeight="1">
      <c r="A128" s="19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</row>
    <row r="129" spans="1:31" ht="12.7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</row>
    <row r="130" spans="1:31" ht="12.75" customHeight="1">
      <c r="A130" s="19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</row>
    <row r="131" spans="1:31" ht="12.75" customHeight="1">
      <c r="A131" s="19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</row>
    <row r="132" spans="1:31" ht="12.75" customHeight="1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</row>
    <row r="133" spans="1:31" ht="12.75" customHeight="1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</row>
    <row r="134" spans="1:31" ht="12.75" customHeight="1">
      <c r="A134" s="19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</row>
    <row r="135" spans="1:31" ht="12.75" customHeight="1">
      <c r="A135" s="19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</row>
    <row r="136" spans="1:31" ht="12.75" customHeight="1">
      <c r="A136" s="19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</row>
    <row r="137" spans="1:31" ht="12.75" customHeight="1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</row>
    <row r="138" spans="1:31" ht="12.75" customHeight="1">
      <c r="A138" s="19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</row>
    <row r="139" spans="1:31" ht="12.75" customHeight="1">
      <c r="A139" s="19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</row>
    <row r="140" spans="1:31" ht="12.75" customHeight="1">
      <c r="A140" s="19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</row>
    <row r="141" spans="1:31" ht="12.75" customHeight="1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</row>
    <row r="142" spans="1:31" ht="12.75" customHeight="1">
      <c r="A142" s="19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</row>
    <row r="143" spans="1:31" ht="12.75" customHeight="1">
      <c r="A143" s="19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</row>
    <row r="144" spans="1:31" ht="12.75" customHeight="1">
      <c r="A144" s="19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</row>
    <row r="145" spans="1:31" ht="12.75" customHeight="1">
      <c r="A145" s="19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</row>
    <row r="146" spans="1:31" ht="12.75" customHeight="1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</row>
    <row r="147" spans="1:31" ht="12.75" customHeight="1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</row>
    <row r="148" spans="1:31" ht="12.75" customHeight="1">
      <c r="A148" s="19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</row>
    <row r="149" spans="1:31" ht="12.75" customHeight="1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</row>
    <row r="150" spans="1:31" ht="12.75" customHeight="1">
      <c r="A150" s="19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</row>
    <row r="151" spans="1:31" ht="12.75" customHeight="1">
      <c r="A151" s="19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</row>
    <row r="152" spans="1:31" ht="12.75" customHeight="1">
      <c r="A152" s="19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</row>
    <row r="153" spans="1:31" ht="12.75" customHeight="1">
      <c r="A153" s="19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</row>
    <row r="154" spans="1:31" ht="12.75" customHeight="1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</row>
    <row r="155" spans="1:31" ht="12.75" customHeight="1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</row>
    <row r="156" spans="1:31" ht="12.75" customHeight="1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</row>
    <row r="157" spans="1:31" ht="12.75" customHeight="1">
      <c r="A157" s="19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</row>
    <row r="158" spans="1:31" ht="12.75" customHeight="1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</row>
    <row r="159" spans="1:31" ht="12.75" customHeight="1">
      <c r="A159" s="19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</row>
    <row r="160" spans="1:31" ht="12.75" customHeight="1">
      <c r="A160" s="19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</row>
    <row r="161" spans="1:31" ht="12.75" customHeight="1">
      <c r="A161" s="19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</row>
    <row r="162" spans="1:31" ht="12.75" customHeight="1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</row>
    <row r="163" spans="1:31" ht="12.75" customHeight="1">
      <c r="A163" s="19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</row>
    <row r="164" spans="1:31" ht="12.75" customHeight="1">
      <c r="A164" s="19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</row>
    <row r="165" spans="1:31" ht="12.75" customHeight="1">
      <c r="A165" s="19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</row>
    <row r="166" spans="1:31" ht="12.75" customHeight="1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</row>
    <row r="167" spans="1:31" ht="12.75" customHeight="1">
      <c r="A167" s="19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</row>
    <row r="168" spans="1:31" ht="12.75" customHeight="1">
      <c r="A168" s="19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</row>
    <row r="169" spans="1:31" ht="12.75" customHeight="1">
      <c r="A169" s="19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</row>
    <row r="170" spans="1:31" ht="12.75" customHeight="1">
      <c r="A170" s="19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</row>
    <row r="171" spans="1:31" ht="12.75" customHeight="1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</row>
    <row r="172" spans="1:31" ht="12.75" customHeight="1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</row>
    <row r="173" spans="1:31" ht="12.75" customHeight="1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</row>
    <row r="174" spans="1:31" ht="12.75" customHeight="1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</row>
    <row r="175" spans="1:31" ht="12.75" customHeight="1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</row>
    <row r="176" spans="1:31" ht="12.75" customHeight="1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</row>
    <row r="177" spans="1:31" ht="12.75" customHeight="1">
      <c r="A177" s="19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</row>
    <row r="178" spans="1:31" ht="12.75" customHeight="1">
      <c r="A178" s="19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</row>
    <row r="179" spans="1:31" ht="12.75" customHeight="1">
      <c r="A179" s="19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</row>
    <row r="180" spans="1:31" ht="12.75" customHeight="1">
      <c r="A180" s="19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</row>
    <row r="181" spans="1:31" ht="12.75" customHeight="1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</row>
    <row r="182" spans="1:31" ht="12.75" customHeight="1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</row>
    <row r="183" spans="1:31" ht="12.75" customHeight="1">
      <c r="A183" s="19"/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</row>
    <row r="184" spans="1:31" ht="12.75" customHeight="1">
      <c r="A184" s="19"/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</row>
    <row r="185" spans="1:31" ht="12.75" customHeight="1">
      <c r="A185" s="19"/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</row>
    <row r="186" spans="1:31" ht="12.75" customHeight="1">
      <c r="A186" s="19"/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</row>
    <row r="187" spans="1:31" ht="12.75" customHeight="1">
      <c r="A187" s="19"/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</row>
    <row r="188" spans="1:31" ht="12.75" customHeight="1">
      <c r="A188" s="19"/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</row>
    <row r="189" spans="1:31" ht="12.75" customHeight="1">
      <c r="A189" s="19"/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</row>
    <row r="190" spans="1:31" ht="12.75" customHeight="1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</row>
    <row r="191" spans="1:31" ht="12.75" customHeight="1">
      <c r="A191" s="19"/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</row>
    <row r="192" spans="1:31" ht="12.75" customHeight="1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</row>
    <row r="193" spans="1:31" ht="12.75" customHeight="1">
      <c r="A193" s="19"/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</row>
    <row r="194" spans="1:31" ht="12.75" customHeight="1">
      <c r="A194" s="19"/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</row>
    <row r="195" spans="1:31" ht="12.75" customHeight="1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</row>
    <row r="196" spans="1:31" ht="12.75" customHeight="1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</row>
    <row r="197" spans="1:31" ht="12.75" customHeight="1">
      <c r="A197" s="19"/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</row>
    <row r="198" spans="1:31" ht="12.75" customHeight="1">
      <c r="A198" s="19"/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</row>
    <row r="199" spans="1:31" ht="12.75" customHeight="1">
      <c r="A199" s="19"/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</row>
    <row r="200" spans="1:31" ht="12.75" customHeight="1">
      <c r="A200" s="19"/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</row>
    <row r="201" spans="1:31" ht="12.75" customHeight="1">
      <c r="A201" s="19"/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</row>
    <row r="202" spans="1:31" ht="12.75" customHeight="1">
      <c r="A202" s="19"/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</row>
    <row r="203" spans="1:31" ht="12.75" customHeight="1">
      <c r="A203" s="19"/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</row>
    <row r="204" spans="1:31" ht="12.75" customHeight="1">
      <c r="A204" s="19"/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</row>
    <row r="205" spans="1:31" ht="12.75" customHeight="1">
      <c r="A205" s="19"/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</row>
    <row r="206" spans="1:31" ht="12.75" customHeight="1">
      <c r="A206" s="19"/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</row>
    <row r="207" spans="1:31" ht="12.75" customHeight="1">
      <c r="A207" s="19"/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</row>
    <row r="208" spans="1:31" ht="12.75" customHeight="1">
      <c r="A208" s="19"/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</row>
    <row r="209" spans="1:31" ht="12.75" customHeight="1">
      <c r="A209" s="19"/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</row>
    <row r="210" spans="1:31" ht="12.75" customHeight="1">
      <c r="A210" s="19"/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</row>
    <row r="211" spans="1:31" ht="12.75" customHeight="1">
      <c r="A211" s="19"/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</row>
    <row r="212" spans="1:31" ht="12.75" customHeight="1">
      <c r="A212" s="19"/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  <c r="Z212" s="19"/>
      <c r="AA212" s="19"/>
      <c r="AB212" s="19"/>
      <c r="AC212" s="19"/>
      <c r="AD212" s="19"/>
      <c r="AE212" s="19"/>
    </row>
    <row r="213" spans="1:31" ht="12.75" customHeight="1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</row>
    <row r="214" spans="1:31" ht="12.75" customHeight="1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  <c r="Z214" s="19"/>
      <c r="AA214" s="19"/>
      <c r="AB214" s="19"/>
      <c r="AC214" s="19"/>
      <c r="AD214" s="19"/>
      <c r="AE214" s="19"/>
    </row>
    <row r="215" spans="1:31" ht="12.75" customHeight="1">
      <c r="A215" s="19"/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  <c r="Z215" s="19"/>
      <c r="AA215" s="19"/>
      <c r="AB215" s="19"/>
      <c r="AC215" s="19"/>
      <c r="AD215" s="19"/>
      <c r="AE215" s="19"/>
    </row>
    <row r="216" spans="1:31" ht="12.75" customHeight="1">
      <c r="A216" s="19"/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  <c r="Z216" s="19"/>
      <c r="AA216" s="19"/>
      <c r="AB216" s="19"/>
      <c r="AC216" s="19"/>
      <c r="AD216" s="19"/>
      <c r="AE216" s="19"/>
    </row>
    <row r="217" spans="1:31" ht="12.75" customHeight="1">
      <c r="A217" s="19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  <c r="Z217" s="19"/>
      <c r="AA217" s="19"/>
      <c r="AB217" s="19"/>
      <c r="AC217" s="19"/>
      <c r="AD217" s="19"/>
      <c r="AE217" s="19"/>
    </row>
    <row r="218" spans="1:31" ht="12.75" customHeight="1">
      <c r="A218" s="19"/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  <c r="Z218" s="19"/>
      <c r="AA218" s="19"/>
      <c r="AB218" s="19"/>
      <c r="AC218" s="19"/>
      <c r="AD218" s="19"/>
      <c r="AE218" s="19"/>
    </row>
    <row r="219" spans="1:31" ht="12.75" customHeight="1">
      <c r="A219" s="19"/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  <c r="Z219" s="19"/>
      <c r="AA219" s="19"/>
      <c r="AB219" s="19"/>
      <c r="AC219" s="19"/>
      <c r="AD219" s="19"/>
      <c r="AE219" s="19"/>
    </row>
    <row r="220" spans="1:31" ht="12.75" customHeight="1">
      <c r="A220" s="19"/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  <c r="Z220" s="19"/>
      <c r="AA220" s="19"/>
      <c r="AB220" s="19"/>
      <c r="AC220" s="19"/>
      <c r="AD220" s="19"/>
      <c r="AE220" s="19"/>
    </row>
    <row r="221" spans="1:31" ht="12.75" customHeight="1">
      <c r="A221" s="19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  <c r="Z221" s="19"/>
      <c r="AA221" s="19"/>
      <c r="AB221" s="19"/>
      <c r="AC221" s="19"/>
      <c r="AD221" s="19"/>
      <c r="AE221" s="19"/>
    </row>
    <row r="222" spans="1:31" ht="12.75" customHeight="1">
      <c r="A222" s="19"/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  <c r="Z222" s="19"/>
      <c r="AA222" s="19"/>
      <c r="AB222" s="19"/>
      <c r="AC222" s="19"/>
      <c r="AD222" s="19"/>
      <c r="AE222" s="19"/>
    </row>
    <row r="223" spans="1:31" ht="12.75" customHeight="1">
      <c r="A223" s="19"/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</row>
    <row r="224" spans="1:31" ht="12.75" customHeight="1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</row>
    <row r="225" spans="1:31" ht="12.75" customHeight="1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  <c r="Z225" s="19"/>
      <c r="AA225" s="19"/>
      <c r="AB225" s="19"/>
      <c r="AC225" s="19"/>
      <c r="AD225" s="19"/>
      <c r="AE225" s="19"/>
    </row>
    <row r="226" spans="1:31" ht="12.75" customHeight="1">
      <c r="A226" s="19"/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  <c r="Z226" s="19"/>
      <c r="AA226" s="19"/>
      <c r="AB226" s="19"/>
      <c r="AC226" s="19"/>
      <c r="AD226" s="19"/>
      <c r="AE226" s="19"/>
    </row>
    <row r="227" spans="1:31" ht="12.75" customHeight="1">
      <c r="A227" s="19"/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  <c r="Z227" s="19"/>
      <c r="AA227" s="19"/>
      <c r="AB227" s="19"/>
      <c r="AC227" s="19"/>
      <c r="AD227" s="19"/>
      <c r="AE227" s="19"/>
    </row>
    <row r="228" spans="1:31" ht="12.75" customHeight="1">
      <c r="A228" s="19"/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  <c r="Z228" s="19"/>
      <c r="AA228" s="19"/>
      <c r="AB228" s="19"/>
      <c r="AC228" s="19"/>
      <c r="AD228" s="19"/>
      <c r="AE228" s="19"/>
    </row>
    <row r="229" spans="1:31" ht="12.75" customHeight="1">
      <c r="A229" s="19"/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  <c r="Z229" s="19"/>
      <c r="AA229" s="19"/>
      <c r="AB229" s="19"/>
      <c r="AC229" s="19"/>
      <c r="AD229" s="19"/>
      <c r="AE229" s="19"/>
    </row>
    <row r="230" spans="1:31" ht="12.75" customHeight="1">
      <c r="A230" s="19"/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  <c r="Z230" s="19"/>
      <c r="AA230" s="19"/>
      <c r="AB230" s="19"/>
      <c r="AC230" s="19"/>
      <c r="AD230" s="19"/>
      <c r="AE230" s="19"/>
    </row>
    <row r="231" spans="1:31" ht="12.75" customHeight="1">
      <c r="A231" s="19"/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  <c r="Z231" s="19"/>
      <c r="AA231" s="19"/>
      <c r="AB231" s="19"/>
      <c r="AC231" s="19"/>
      <c r="AD231" s="19"/>
      <c r="AE231" s="19"/>
    </row>
    <row r="232" spans="1:31" ht="12.75" customHeight="1">
      <c r="A232" s="19"/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</row>
    <row r="233" spans="1:31" ht="12.75" customHeight="1">
      <c r="A233" s="19"/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</row>
    <row r="234" spans="1:31" ht="12.75" customHeight="1">
      <c r="A234" s="19"/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</row>
    <row r="235" spans="1:31" ht="12.75" customHeight="1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</row>
    <row r="236" spans="1:31" ht="12.75" customHeight="1">
      <c r="A236" s="19"/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</row>
    <row r="237" spans="1:31" ht="12.75" customHeight="1">
      <c r="A237" s="19"/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</row>
    <row r="238" spans="1:31" ht="12.75" customHeight="1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</row>
    <row r="239" spans="1:31" ht="12.75" customHeight="1">
      <c r="A239" s="19"/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</row>
    <row r="240" spans="1:31" ht="12.75" customHeight="1">
      <c r="A240" s="19"/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</row>
    <row r="241" spans="1:31" ht="12.75" customHeight="1">
      <c r="A241" s="19"/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</row>
    <row r="242" spans="1:31" ht="12.75" customHeight="1">
      <c r="A242" s="19"/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</row>
    <row r="243" spans="1:31" ht="12.75" customHeight="1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</row>
    <row r="244" spans="1:31" ht="12.75" customHeight="1">
      <c r="A244" s="19"/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</row>
    <row r="245" spans="1:31" ht="12.75" customHeight="1">
      <c r="A245" s="19"/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</row>
    <row r="246" spans="1:31" ht="12.75" customHeight="1">
      <c r="A246" s="19"/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</row>
    <row r="247" spans="1:31" ht="12.75" customHeight="1">
      <c r="A247" s="19"/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</row>
    <row r="248" spans="1:31" ht="12.75" customHeight="1">
      <c r="A248" s="19"/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</row>
    <row r="249" spans="1:31" ht="12.75" customHeight="1">
      <c r="A249" s="19"/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</row>
    <row r="250" spans="1:31" ht="12.75" customHeight="1">
      <c r="A250" s="19"/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</row>
    <row r="251" spans="1:31" ht="12.75" customHeight="1">
      <c r="A251" s="19"/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</row>
    <row r="252" spans="1:31" ht="15.75" customHeight="1"/>
    <row r="253" spans="1:31" ht="15.75" customHeight="1"/>
    <row r="254" spans="1:31" ht="15.75" customHeight="1"/>
    <row r="255" spans="1:31" ht="15.75" customHeight="1"/>
    <row r="256" spans="1:31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53">
    <mergeCell ref="E13:F13"/>
    <mergeCell ref="E14:F14"/>
    <mergeCell ref="G14:H14"/>
    <mergeCell ref="I14:J14"/>
    <mergeCell ref="K14:L14"/>
    <mergeCell ref="M14:N14"/>
    <mergeCell ref="O14:P14"/>
    <mergeCell ref="Q16:R16"/>
    <mergeCell ref="S16:T16"/>
    <mergeCell ref="G11:H11"/>
    <mergeCell ref="I11:J11"/>
    <mergeCell ref="K11:L11"/>
    <mergeCell ref="M11:N11"/>
    <mergeCell ref="O11:P11"/>
    <mergeCell ref="Q11:R11"/>
    <mergeCell ref="S11:T11"/>
    <mergeCell ref="E11:F11"/>
    <mergeCell ref="E12:F12"/>
    <mergeCell ref="G12:H12"/>
    <mergeCell ref="I12:J12"/>
    <mergeCell ref="K12:L12"/>
    <mergeCell ref="M12:N12"/>
    <mergeCell ref="O12:P12"/>
    <mergeCell ref="B51:D51"/>
    <mergeCell ref="E50:I50"/>
    <mergeCell ref="E51:I51"/>
    <mergeCell ref="B46:D46"/>
    <mergeCell ref="E46:I46"/>
    <mergeCell ref="B47:D47"/>
    <mergeCell ref="E47:I47"/>
    <mergeCell ref="B48:D48"/>
    <mergeCell ref="E48:I48"/>
    <mergeCell ref="E49:I49"/>
    <mergeCell ref="B24:F24"/>
    <mergeCell ref="B43:D43"/>
    <mergeCell ref="E43:I43"/>
    <mergeCell ref="B44:D44"/>
    <mergeCell ref="E44:I44"/>
    <mergeCell ref="B45:D45"/>
    <mergeCell ref="E45:I45"/>
    <mergeCell ref="B49:D49"/>
    <mergeCell ref="B50:D50"/>
    <mergeCell ref="G21:H21"/>
    <mergeCell ref="I21:J21"/>
    <mergeCell ref="K21:L21"/>
    <mergeCell ref="M21:N21"/>
    <mergeCell ref="O21:P21"/>
    <mergeCell ref="Q21:R21"/>
    <mergeCell ref="S21:T21"/>
    <mergeCell ref="E21:F21"/>
    <mergeCell ref="E22:F22"/>
    <mergeCell ref="G22:H22"/>
    <mergeCell ref="I22:J22"/>
    <mergeCell ref="K22:L22"/>
    <mergeCell ref="M22:N22"/>
    <mergeCell ref="O22:P22"/>
    <mergeCell ref="Q22:R22"/>
    <mergeCell ref="S22:T22"/>
    <mergeCell ref="Q20:R20"/>
    <mergeCell ref="S20:T20"/>
    <mergeCell ref="E19:F19"/>
    <mergeCell ref="E20:F20"/>
    <mergeCell ref="G20:H20"/>
    <mergeCell ref="I20:J20"/>
    <mergeCell ref="K20:L20"/>
    <mergeCell ref="M20:N20"/>
    <mergeCell ref="O20:P20"/>
    <mergeCell ref="O19:P19"/>
    <mergeCell ref="Q19:R19"/>
    <mergeCell ref="Q18:R18"/>
    <mergeCell ref="S18:T18"/>
    <mergeCell ref="G19:H19"/>
    <mergeCell ref="I19:J19"/>
    <mergeCell ref="K19:L19"/>
    <mergeCell ref="M19:N19"/>
    <mergeCell ref="S19:T19"/>
    <mergeCell ref="Q17:R17"/>
    <mergeCell ref="S17:T17"/>
    <mergeCell ref="E17:F17"/>
    <mergeCell ref="E18:F18"/>
    <mergeCell ref="G18:H18"/>
    <mergeCell ref="I18:J18"/>
    <mergeCell ref="K18:L18"/>
    <mergeCell ref="M18:N18"/>
    <mergeCell ref="O18:P18"/>
    <mergeCell ref="E15:F15"/>
    <mergeCell ref="E16:F16"/>
    <mergeCell ref="G16:H16"/>
    <mergeCell ref="I16:J16"/>
    <mergeCell ref="K16:L16"/>
    <mergeCell ref="M16:N16"/>
    <mergeCell ref="O16:P16"/>
    <mergeCell ref="G17:H17"/>
    <mergeCell ref="I17:J17"/>
    <mergeCell ref="K17:L17"/>
    <mergeCell ref="M17:N17"/>
    <mergeCell ref="O17:P17"/>
    <mergeCell ref="Q12:R12"/>
    <mergeCell ref="S12:T12"/>
    <mergeCell ref="G15:H15"/>
    <mergeCell ref="I15:J15"/>
    <mergeCell ref="K15:L15"/>
    <mergeCell ref="M15:N15"/>
    <mergeCell ref="O15:P15"/>
    <mergeCell ref="Q15:R15"/>
    <mergeCell ref="S15:T15"/>
    <mergeCell ref="G13:H13"/>
    <mergeCell ref="I13:J13"/>
    <mergeCell ref="K13:L13"/>
    <mergeCell ref="M13:N13"/>
    <mergeCell ref="O13:P13"/>
    <mergeCell ref="Q13:R13"/>
    <mergeCell ref="S13:T13"/>
    <mergeCell ref="Q14:R14"/>
    <mergeCell ref="S14:T14"/>
    <mergeCell ref="Q10:R10"/>
    <mergeCell ref="S10:T10"/>
    <mergeCell ref="E9:F9"/>
    <mergeCell ref="E10:F10"/>
    <mergeCell ref="G10:H10"/>
    <mergeCell ref="I10:J10"/>
    <mergeCell ref="K10:L10"/>
    <mergeCell ref="M10:N10"/>
    <mergeCell ref="O10:P10"/>
    <mergeCell ref="S8:T8"/>
    <mergeCell ref="O9:P9"/>
    <mergeCell ref="Q9:R9"/>
    <mergeCell ref="S9:T9"/>
    <mergeCell ref="B5:F5"/>
    <mergeCell ref="B6:B7"/>
    <mergeCell ref="C6:D6"/>
    <mergeCell ref="E6:H6"/>
    <mergeCell ref="I6:L6"/>
    <mergeCell ref="M6:T6"/>
    <mergeCell ref="E7:F7"/>
    <mergeCell ref="S7:T7"/>
    <mergeCell ref="G7:H7"/>
    <mergeCell ref="I7:J7"/>
    <mergeCell ref="E8:F8"/>
    <mergeCell ref="G8:H8"/>
    <mergeCell ref="I8:J8"/>
    <mergeCell ref="G9:H9"/>
    <mergeCell ref="I9:J9"/>
    <mergeCell ref="K7:L7"/>
    <mergeCell ref="M7:N7"/>
    <mergeCell ref="K8:L8"/>
    <mergeCell ref="M8:N8"/>
    <mergeCell ref="K9:L9"/>
    <mergeCell ref="M9:N9"/>
    <mergeCell ref="O7:P7"/>
    <mergeCell ref="Q7:R7"/>
    <mergeCell ref="O8:P8"/>
    <mergeCell ref="Q8:R8"/>
  </mergeCells>
  <phoneticPr fontId="149" type="noConversion"/>
  <conditionalFormatting sqref="M3">
    <cfRule type="notContainsBlanks" dxfId="0" priority="1">
      <formula>LEN(TRIM(M3))&gt;0</formula>
    </cfRule>
  </conditionalFormatting>
  <pageMargins left="0.7" right="0.7" top="0.75" bottom="0.75" header="0" footer="0"/>
  <pageSetup scale="5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ROUTING DOWNLOAD</vt:lpstr>
      <vt:lpstr>TSLINES UPDATE DELAY&amp;CUTOFF SCH</vt:lpstr>
      <vt:lpstr>TSLINES CONTACT LIST</vt:lpstr>
      <vt:lpstr>TSLINES ORIGINAL SCHED</vt:lpstr>
      <vt:lpstr>SI CUT OFF,BL PRINT,EX.RATE</vt:lpstr>
      <vt:lpstr>TSLINES ORIGINAL SCHED JP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Chong</dc:creator>
  <cp:lastModifiedBy>Amy Chong--Marketing &amp; Sales Dept--HK</cp:lastModifiedBy>
  <dcterms:created xsi:type="dcterms:W3CDTF">2026-09-22T06:01:11Z</dcterms:created>
  <dcterms:modified xsi:type="dcterms:W3CDTF">2026-09-22T06:01:11Z</dcterms:modified>
</cp:coreProperties>
</file>